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070" windowWidth="18195" windowHeight="6270"/>
  </bookViews>
  <sheets>
    <sheet name="Лист1" sheetId="1" r:id="rId1"/>
    <sheet name="Лист2" sheetId="2" r:id="rId2"/>
    <sheet name="Лист3" sheetId="5" r:id="rId3"/>
    <sheet name="Лист4" sheetId="6" r:id="rId4"/>
    <sheet name="Лист5" sheetId="7" r:id="rId5"/>
  </sheets>
  <definedNames>
    <definedName name="_xlnm._FilterDatabase" localSheetId="0" hidden="1">Лист1!$A$2:$U$240</definedName>
  </definedNames>
  <calcPr calcId="144525"/>
</workbook>
</file>

<file path=xl/calcChain.xml><?xml version="1.0" encoding="utf-8"?>
<calcChain xmlns="http://schemas.openxmlformats.org/spreadsheetml/2006/main">
  <c r="E8" i="1" l="1"/>
  <c r="K147" i="1" l="1"/>
  <c r="K165" i="1" l="1"/>
  <c r="F83" i="1" l="1"/>
  <c r="K239" i="1" l="1"/>
  <c r="K28" i="1" l="1"/>
  <c r="K157" i="1" l="1"/>
  <c r="K100" i="1" l="1"/>
  <c r="K199" i="1" l="1"/>
  <c r="K222" i="1"/>
  <c r="K84" i="1"/>
  <c r="K228" i="1" l="1"/>
  <c r="K120" i="1"/>
  <c r="K198" i="1"/>
  <c r="K197" i="1"/>
  <c r="K184" i="1"/>
  <c r="K148" i="1"/>
  <c r="K95" i="1"/>
  <c r="K210" i="1"/>
  <c r="K37" i="1" l="1"/>
  <c r="K216" i="1" l="1"/>
  <c r="K104" i="1"/>
  <c r="K128" i="1"/>
  <c r="K226" i="1" l="1"/>
  <c r="K215" i="1"/>
  <c r="K26" i="1"/>
  <c r="K102" i="1"/>
  <c r="K233" i="1" l="1"/>
  <c r="K49" i="1"/>
  <c r="K110" i="1"/>
  <c r="K156" i="1"/>
  <c r="K204" i="1"/>
  <c r="K132" i="1"/>
  <c r="H165" i="1" l="1"/>
  <c r="K153" i="1"/>
  <c r="K20" i="1"/>
  <c r="K186" i="1"/>
  <c r="K4" i="1"/>
  <c r="K62" i="1" l="1"/>
  <c r="K124" i="1"/>
  <c r="K10" i="1" l="1"/>
  <c r="K17" i="1"/>
  <c r="K213" i="1"/>
  <c r="K162" i="1" l="1"/>
  <c r="K98" i="1" l="1"/>
  <c r="H98" i="1"/>
  <c r="K58" i="1" l="1"/>
  <c r="H59" i="1"/>
  <c r="K207" i="1"/>
  <c r="K116" i="1"/>
  <c r="H118" i="1"/>
  <c r="H117" i="1"/>
  <c r="K121" i="1" l="1"/>
  <c r="K69" i="1" l="1"/>
  <c r="K227" i="1"/>
  <c r="K193" i="1" l="1"/>
  <c r="K113" i="1"/>
  <c r="H113" i="1"/>
  <c r="K214" i="1"/>
  <c r="K209" i="1"/>
  <c r="H209" i="1"/>
  <c r="K45" i="1" l="1"/>
  <c r="K205" i="1"/>
  <c r="K208" i="1" l="1"/>
  <c r="K185" i="1"/>
  <c r="H185" i="1"/>
  <c r="K75" i="1"/>
  <c r="K9" i="1" l="1"/>
  <c r="K27" i="1"/>
  <c r="K89" i="1" l="1"/>
  <c r="K139" i="1"/>
  <c r="K60" i="1"/>
  <c r="K135" i="1"/>
  <c r="K195" i="1" l="1"/>
  <c r="J196" i="1"/>
  <c r="H196" i="1"/>
  <c r="K14" i="1"/>
  <c r="K46" i="1" l="1"/>
  <c r="J46" i="1"/>
  <c r="H46" i="1"/>
  <c r="K51" i="1"/>
  <c r="K129" i="1" l="1"/>
  <c r="K150" i="1"/>
  <c r="K220" i="1"/>
  <c r="K93" i="1" l="1"/>
  <c r="F195" i="1" l="1"/>
  <c r="A10" i="6"/>
  <c r="K36" i="1" l="1"/>
  <c r="F119" i="1"/>
  <c r="F139" i="1"/>
  <c r="V30" i="2" l="1"/>
  <c r="S54" i="2"/>
  <c r="F65" i="1"/>
  <c r="F214" i="1" l="1"/>
  <c r="F57" i="1" l="1"/>
  <c r="A5" i="5" l="1"/>
  <c r="E5" i="5" s="1"/>
  <c r="F117" i="1" l="1"/>
  <c r="E11" i="1"/>
  <c r="F61" i="1"/>
  <c r="E220" i="1" l="1"/>
  <c r="K142" i="1" l="1"/>
  <c r="F138" i="1" l="1"/>
  <c r="K212" i="1"/>
  <c r="K44" i="1"/>
  <c r="H44" i="1"/>
  <c r="I44" i="1"/>
  <c r="J44" i="1"/>
  <c r="F192" i="1" l="1"/>
  <c r="K192" i="1"/>
  <c r="K217" i="1" l="1"/>
  <c r="F143" i="1" l="1"/>
  <c r="K143" i="1" l="1"/>
  <c r="E195" i="1"/>
  <c r="F115" i="1" l="1"/>
  <c r="E115" i="1"/>
  <c r="F17" i="1" l="1"/>
  <c r="E17" i="1"/>
  <c r="F193" i="1" l="1"/>
  <c r="E193" i="1"/>
  <c r="E142" i="1"/>
  <c r="F100" i="1" l="1"/>
  <c r="F59" i="1" l="1"/>
  <c r="K12" i="1" l="1"/>
  <c r="K96" i="1" l="1"/>
  <c r="K90" i="1" l="1"/>
  <c r="K92" i="1" l="1"/>
  <c r="K119" i="1"/>
  <c r="F45" i="1"/>
  <c r="F9" i="1" l="1"/>
  <c r="O26" i="2"/>
  <c r="N26" i="2"/>
  <c r="L13" i="2"/>
  <c r="K13" i="2"/>
  <c r="H21" i="2"/>
  <c r="I21" i="2"/>
  <c r="F212" i="1" l="1"/>
  <c r="E12" i="1" l="1"/>
  <c r="K125" i="1" l="1"/>
  <c r="F85" i="1" l="1"/>
  <c r="F97" i="1" l="1"/>
  <c r="E151" i="1" l="1"/>
  <c r="F150" i="1"/>
  <c r="K194" i="1"/>
  <c r="K155" i="1" l="1"/>
  <c r="D16" i="2" l="1"/>
  <c r="E16" i="2"/>
  <c r="A40" i="2"/>
  <c r="B40" i="2"/>
  <c r="K68" i="1" l="1"/>
  <c r="K67" i="1"/>
  <c r="K91" i="1"/>
  <c r="K161" i="1" l="1"/>
  <c r="G44" i="1" l="1"/>
</calcChain>
</file>

<file path=xl/sharedStrings.xml><?xml version="1.0" encoding="utf-8"?>
<sst xmlns="http://schemas.openxmlformats.org/spreadsheetml/2006/main" count="1782" uniqueCount="1088">
  <si>
    <t>Наименование застройщика, адрес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</si>
  <si>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</si>
  <si>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</si>
  <si>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</si>
  <si>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</si>
  <si>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</si>
  <si>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</si>
  <si>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</si>
  <si>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</si>
  <si>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17-этажный жилой дом со встроенными общественными помещениями ул. 2-я Красина, д.82</t>
  </si>
  <si>
    <t>17-этажный жилой дом  со встроенными общественными помещениями ул. Хромова, д.27, корп. 2</t>
  </si>
  <si>
    <t>17-этажный жилой дом со встроенными общественными помещениями ул. 2-я Красина, д. 66</t>
  </si>
  <si>
    <t>1 квартал 2015</t>
  </si>
  <si>
    <t>3 кв.2015</t>
  </si>
  <si>
    <t>3 кв. 2016</t>
  </si>
  <si>
    <t>4 кв. 2015</t>
  </si>
  <si>
    <t>Страхование/ Гарантия</t>
  </si>
  <si>
    <t>ООО "СК "Интерполистраст"</t>
  </si>
  <si>
    <t>из них физ. лица</t>
  </si>
  <si>
    <t>ООО "СК "Советская"</t>
  </si>
  <si>
    <t>ООО "СК КОМЕСТРА"</t>
  </si>
  <si>
    <t>ООО "Страховая Инвестиционная Компания"</t>
  </si>
  <si>
    <t>разрешение на строительство № RU 69340000-27 от 05.07.2013</t>
  </si>
  <si>
    <t>Разрешение на строительство</t>
  </si>
  <si>
    <t>ОАО "Русская страховая транспортная компания"</t>
  </si>
  <si>
    <t>разрешение на строительство № RU69320000-166 от 15.03.2012 сроком действия до 30.06.2016</t>
  </si>
  <si>
    <t>информация не представлена</t>
  </si>
  <si>
    <t>разрешение на строительство RU69320000-231 от 07.11.2012</t>
  </si>
  <si>
    <t>отсутствует информация нарастающим итогом</t>
  </si>
  <si>
    <t>не требуется</t>
  </si>
  <si>
    <t>разрешение на строительство RU 6934000-661 от 03.10.2014</t>
  </si>
  <si>
    <t>разрешение на строительство RU6931000-465 от 29.11.2013</t>
  </si>
  <si>
    <t>разрешение на строительство RU 69320000-66 от 18.11.2013 сроком до 31.12.2018</t>
  </si>
  <si>
    <t>разрешение на строительство RU69340000-38 от 17.09.2012</t>
  </si>
  <si>
    <t>разрешение на строительство RU 69340000-21 от 08.05.2014</t>
  </si>
  <si>
    <t>разрешение на строительство № RU69303000-65 от 04.04.2014</t>
  </si>
  <si>
    <t>разрешение на строительство № RU 69320000-77 от 26.12.2013</t>
  </si>
  <si>
    <t>разрешение на строительство № RU 69320000-38 от 03.07.2013</t>
  </si>
  <si>
    <t>начало 2 кв. 2013 - окончание 4 кв. 2014</t>
  </si>
  <si>
    <t>4 кв.2013 - окончание 2 кв. 2015</t>
  </si>
  <si>
    <t>разрешение на строительство RU 69310000-478 от 19.12.2013</t>
  </si>
  <si>
    <t>разрешение на строительство RU 69320000-32 от 23.05.2014</t>
  </si>
  <si>
    <t>19835,28 (суммарно по секциям 1-10)</t>
  </si>
  <si>
    <t>1851  (суммарно по секциям 1-10)</t>
  </si>
  <si>
    <t>разрешение на строительство № RU 69510316-19 от 16.05.2014 сроком до 16.05.2016</t>
  </si>
  <si>
    <t>разрешение на строительство RU 69310000-435 от 12.09.2013 сроком до 31.12.2016</t>
  </si>
  <si>
    <t>ОАО «Страховая компания «МРСК»</t>
  </si>
  <si>
    <t>разрешение на строительство RU 69320000-603 от 08.08.2014 сроком до 30.11.2016</t>
  </si>
  <si>
    <t>разрешение на строительство № RU 69522000-002 209-30 от 24.07.2014</t>
  </si>
  <si>
    <t>разрешение на строительство № RU 69340000-40 от 16.10.2012</t>
  </si>
  <si>
    <t>разрешение на строительство № RU 69330000-157 от 16.10.2013</t>
  </si>
  <si>
    <t>разрешение на строительство RU 69330000-178 от 07.02.2014</t>
  </si>
  <si>
    <t>разрешение на строительство RU 69330000-174 от 27.12.2013</t>
  </si>
  <si>
    <t>разрешение на строительство RU 69320000-659 от 29.09.2014 сроком до 15.06.2016</t>
  </si>
  <si>
    <t>разрешение на строительство RU 69320000-22 от 14.04.2014</t>
  </si>
  <si>
    <t>ООО СК "Коместра"</t>
  </si>
  <si>
    <t>разрешение на строительство RU 69320000-190 от 08.06.2012</t>
  </si>
  <si>
    <t>16-этажный 108 квартирный жилой дом с 7 помещениями общественного назначения ул. Левитана, вторая секция</t>
  </si>
  <si>
    <t>16-этажный 122 квартирный жилой дом с 16 помещениями общественного назначения ул. Левитана, третья секция</t>
  </si>
  <si>
    <t>ОАО СК "МРСК",                     ООО "СК "Коместра"</t>
  </si>
  <si>
    <t>разрешение на строительство RU 69310000-412 от 12.07.2013</t>
  </si>
  <si>
    <t>разрешение на строительство RU 69310000-396 от 27.05.2013</t>
  </si>
  <si>
    <t>разрешение на строительство RU 1056910026139-28 от 14.10.2011</t>
  </si>
  <si>
    <t>разрешение на строительство RU 69504000330 от 27.12.2011 сроком до 27.12.2016</t>
  </si>
  <si>
    <t>разрешение на строительство № RU69302000-39 от 14.11.2013</t>
  </si>
  <si>
    <t>разрешение на строительство № RU 69302000-40 от 14.11.2013</t>
  </si>
  <si>
    <t>разрешение на строительство № RU 69310000-277 от 04.05.2012 продление сроком до 04.04.2016</t>
  </si>
  <si>
    <t>ООО "СК "АРТЕКС"</t>
  </si>
  <si>
    <t>разрешение на строительство RU 69310000-683 от 24.10.2014  сроком до 14.02.2017</t>
  </si>
  <si>
    <t>разрешение на строительство RU69515101-369 от 08.12.2014 сроком до 08.12.2016</t>
  </si>
  <si>
    <t>начало 07.05.2014   окончание 07.05.2016</t>
  </si>
  <si>
    <t>ООО "Страховое общество "Купеческое"</t>
  </si>
  <si>
    <t>г. Тверь, ул. Резинстроя, д. 8 (2 этап, 32 кв., 4 н.п.)</t>
  </si>
  <si>
    <t xml:space="preserve">разрешение на строительство RU 69320000-677 от 24.10.2014 </t>
  </si>
  <si>
    <t>1 кв. 2016</t>
  </si>
  <si>
    <t>разрешение на строительство RU 6934000-678 от 24.10.2014</t>
  </si>
  <si>
    <t>3 кв. 2015</t>
  </si>
  <si>
    <t>ООО "СК Советская"</t>
  </si>
  <si>
    <t>3 кв. 2018</t>
  </si>
  <si>
    <t>Итого:</t>
  </si>
  <si>
    <t>разрешение на ввод в эксплуатацию №69-4067-2015 от 30.06.2015</t>
  </si>
  <si>
    <t>разрешение на ввод в эксплуатацию № 69-40-85-2015 от 12.08.2015</t>
  </si>
  <si>
    <t>Жилой дом № 1: 16- этажный  208-квартирный со встроенными помещениями общественного назначения, г. Тверь, ул. Склизкова</t>
  </si>
  <si>
    <t>Жилой дом № 3: 16- этажный  208-квартирный со встроенными помещениями общественного назначения, г. Тверь, ул. Склизкова</t>
  </si>
  <si>
    <t>Жилой дом № 2: 16- этажный  240-квартирный со встроенными помещениями общественного назначения, г. Тверь, ул. Склизкова</t>
  </si>
  <si>
    <t>Жилой дом № 4: 15- этажный  225-квартирный со встроенными помещениями общественного назначения, г. Тверь, ул. Склизкова</t>
  </si>
  <si>
    <t>разрешение на строительство 69-RU69515318-174-2015 от 21.05.2015 сроком до 12.10.2016</t>
  </si>
  <si>
    <t>разрешение на строительство RU69515318-171 от 15.05.2015 сроком до 11.11.2016</t>
  </si>
  <si>
    <t>203 квартирный 6-8 этажный жилой дом "3", Тверская обл., Конаковский р-н, д. Мокшино</t>
  </si>
  <si>
    <t>№ 695103312-130 от 22.07.2015</t>
  </si>
  <si>
    <t>площадь квартир</t>
  </si>
  <si>
    <t>Блокированный жилой дом из 2-х жилых помещений, Тверская обл., Калининский р-н, Никулинское с/п, д. Кривцово, ул. Удачная, д. № 4</t>
  </si>
  <si>
    <t>69 RU 69510312-158-2015 от 01.10.2015</t>
  </si>
  <si>
    <t>ООО "Региональная страховая компания"</t>
  </si>
  <si>
    <t>№ 69-40-52-2016 от 11.03.2016</t>
  </si>
  <si>
    <t>разрешение на ввод в эксплуатацию от 20.10.2015 № 69-40-97-2015</t>
  </si>
  <si>
    <t xml:space="preserve">ООО «Восток»
г. Тверь, ул. Складская, д. 7, 170027                                 ИНН 6952013910
</t>
  </si>
  <si>
    <t>из них физ. лица (млн. руб.)</t>
  </si>
  <si>
    <t>начало -      1 кв. 2015 окончание -   2 кв. 2017</t>
  </si>
  <si>
    <t>Тверская область, Калининский р-н, Бурашевское сельское поселение, д. Слободка (блок-секция №IV-8) (4-х этажн, 40 кв-р)</t>
  </si>
  <si>
    <t>14-этажный многоквартирный жилой дом с нежилыми помещениями                 г. Конаково, ул. Баскакова, район д. 1</t>
  </si>
  <si>
    <t>разрешение на ввод в эксплуатацию 69-RU695151-101-113-2015 от 11.12.2015</t>
  </si>
  <si>
    <t>разрешение RU69330000-614 от 26.08.2014</t>
  </si>
  <si>
    <t>разрешение RU69330000-7 от 23.01.2015</t>
  </si>
  <si>
    <t>март 2017</t>
  </si>
  <si>
    <t>г. Тверь, б-р  Шмидта, д. 12/15  (5 этаж. 32 кв-ры)</t>
  </si>
  <si>
    <t>начало -       4 кв. 2013,      окончание - 4  кв.2014</t>
  </si>
  <si>
    <t>начало -     4 кв. 2014, окончание - 2 кв. 2016</t>
  </si>
  <si>
    <t>начало -      4 кв. 2015, окончание -  1 кв. 2018</t>
  </si>
  <si>
    <t>начало -      4 кв. 2014;  окончание -  3 кв. 2016</t>
  </si>
  <si>
    <t>разрешение на строительство RU 69504000561 от 15.09.2014, сроком до 28.12.2015</t>
  </si>
  <si>
    <t>№ 69-RU69510306-86-2015 от 06.10.2015</t>
  </si>
  <si>
    <t>начало -      4 кв. 2015, окончание -  4 кв. 2016</t>
  </si>
  <si>
    <t xml:space="preserve"> начало -      3 кв. 2014, окончание -       3 кв.2017</t>
  </si>
  <si>
    <t>ООО "Страховая Инвестиционная Компания"; ООО "Региональная страховая компания"</t>
  </si>
  <si>
    <t>Реконструкция застройки квартала в границах улиц Роговик, Бонч-Бруевич, пер. Трудолюбия, пер. Беляковский в г. Твери - 7 этап строительства 7-этажный жилой дом ,      г. Тверь, пер. Трудолюбия, д. 36, (54 кв-ры)</t>
  </si>
  <si>
    <t>начало -      4 кв. 2012, окончание -      4 кв. 2017</t>
  </si>
  <si>
    <t>№69-502101-47-2015 от 21.08.2015 до 21.08.2016</t>
  </si>
  <si>
    <t xml:space="preserve">ООО «Микро ДСК»
г. Тверь, ул. Колодкина, д. 11, 170002                                  ИНН 6901042590
</t>
  </si>
  <si>
    <t>начало -      1 кв. 2014  окончание - 3 кв. 2015</t>
  </si>
  <si>
    <t>12-этажный жилой дом   г. Тверь, ул. Псковская, д. 2,  2 этап</t>
  </si>
  <si>
    <t>начало -      3 кв. 2015, окончание - 2 кв. 2017</t>
  </si>
  <si>
    <t>начало -      1 кв. 2015, окончание -  1 кв. 2018</t>
  </si>
  <si>
    <t>начало -      1 кв. 2015, окончание -  1 кв. 2017</t>
  </si>
  <si>
    <t>начало -      1 кв. 2015, окончание -  4 кв. 2016</t>
  </si>
  <si>
    <t>начало -      1 кв. 2015, окончание -  4 кв. 2017</t>
  </si>
  <si>
    <t>начало -       3 кв. 2013, окончание -        2 кв. 2015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</si>
  <si>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28-31 секции)</t>
  </si>
  <si>
    <t>9-этажный жилой дом со встроенными помещениями общественного назначения, г. Тверь, ул. Гусева, д. 46 (строит. адрес: Октябрьский пр-т, д. 95, корп. 5) (4 этап 18-21 секции)</t>
  </si>
  <si>
    <t>9-этажный жилой дом со встроенными помещениями общественного назначения, г. Тверь, ул. Гусева, д. 46 (строит. адрес: Октябрьский пр-т, д. 95, корп. 5) (4 этап 22-24 секции)</t>
  </si>
  <si>
    <t>12-этажный жилой дом со встроенными помещениями общественного назначения, г. Тверь, ул. Гусева, д. 46 (строит. адрес:  Октябрьский пр-т, д.99) (4 этап 25-27 секции)</t>
  </si>
  <si>
    <t>10-ти этажный 2-х секционный жилой дом Тверская обл., Черногубовское с/п,       д. Батино (200 кв-р, 80 н.п.)</t>
  </si>
  <si>
    <t>начало -      2 кв. 2014, окончание -        4 кв. 2015</t>
  </si>
  <si>
    <t>май 2016</t>
  </si>
  <si>
    <t>разрешение на ввод в эксплуатацию № 69-40-135-2015 от 28.12.2015</t>
  </si>
  <si>
    <t>разрешение на ввод в эксплуатацию №69-RU69510316-052015 от 25.12.2015</t>
  </si>
  <si>
    <t>10-ти этажный 2-х секционный жилой дом корпус 2              Тверская область, Черногубовское с/п, д. Батино (278 кв-р, 80 н.п.)</t>
  </si>
  <si>
    <t>начало -      4 кв. 2014   окончание - 2 полугодие 2016</t>
  </si>
  <si>
    <t>22-этажный жилой дом    г. Тверь, ул. Складская, 164 (поз.7) (218 кв-р)</t>
  </si>
  <si>
    <t>разрешение на ввод в эксплуатацию от 17.12.2015 № 69-40-125-2015</t>
  </si>
  <si>
    <t>ООО "НОРД-ДЕВЕЛОПМЕНТ"             г. Москва, Каширское ш., д. 57, корп. 2, 115211,                         ИНН 7724882896</t>
  </si>
  <si>
    <t>95-квартирный 12-этажный жилой дом с продовольственным магазином, помещениями общественного назначения, г. Тверь, ул. Ипподромная, д. 9а</t>
  </si>
  <si>
    <t>разрешение на ввод в эксплуатацию № 69-40-128-2015 от 18.12.2015</t>
  </si>
  <si>
    <t xml:space="preserve">разрешение на строительство № RU 69519000-015-2015 от 25.09.2015 </t>
  </si>
  <si>
    <t>разрешение на строительство № RU 69519000-013-2015 от 04.09.2015</t>
  </si>
  <si>
    <t xml:space="preserve">ООО «АртХаус»
г. Тверь, ул. Озерная, 
д. 14, корп. 1, 170008, ИНН 6901024343
</t>
  </si>
  <si>
    <t>начало -      4 кв.2013 окончание - 4 кв.2015</t>
  </si>
  <si>
    <t xml:space="preserve">1 кв. 2016; 28.04.2016 </t>
  </si>
  <si>
    <t>3-этажный жилой дом      г. Тверь, ул. 1-я А. Невского, д.10, корп.6    (9 кв-р; 8 м/м; 3 н.п.)</t>
  </si>
  <si>
    <t>разрешение на строительство RU 69310000-330 от 01.11.2012; изменения RU 69310000-420 от 25.07.2013; RU 69310000-482 от 25.12.2013</t>
  </si>
  <si>
    <t>3-этажный жилой дом        г. Тверь, ул. 1-я А. Невского, д.10, корп. 18 (84 кв-ры; 23 м/м)</t>
  </si>
  <si>
    <t>разрешение на строительство RU 69310000-330 от 01.11.2012; изменения RU 69310000-420 от 25.07.2013; RU 69310000-482 от 25.12.2013; RU69310000-482 от 11.09.2015</t>
  </si>
  <si>
    <t xml:space="preserve">3-этажный жилой дом     г. Тверь, ул. 1-я А. Невского, д.10, корп. 15 (9 кв-р; 3 н.п.) </t>
  </si>
  <si>
    <t>4 кв. 2016</t>
  </si>
  <si>
    <t>10-этажный 80-квартирный жилой дом    г. Тверь, ул. Гончаровой, д.34, корп.1 и корп.2</t>
  </si>
  <si>
    <t>начало -      2 кв. 2015, окончание -  4 кв. 2017</t>
  </si>
  <si>
    <t>информация не  представлена</t>
  </si>
  <si>
    <t>начало -      3 кв. 2014, окончание - 1 кв. 2016</t>
  </si>
  <si>
    <t>3-этажное административно-офисное здание г. Тверь, ул. Симеоновская, д. 72</t>
  </si>
  <si>
    <t>начало -октябрь 2014             окончание - 4 кв. 2015</t>
  </si>
  <si>
    <t>разрешение на ввод в эксплуатацию №69-40-4-2016 от 03.02.2016</t>
  </si>
  <si>
    <t>6-этажное административно-офисное здание г. Тверь, ул. И. Седых, д. 8 (2 этап)</t>
  </si>
  <si>
    <t>начало -      4 кв. 2014  окончание - 1 квартал 2016</t>
  </si>
  <si>
    <t>разрешение на ввод в эксплуатацию №69-40-3-2016 от 03.02.2016</t>
  </si>
  <si>
    <t>начало -      1 кв. 2015, окончание -  3 кв. 2016</t>
  </si>
  <si>
    <t>начало -      4 кв. 2012, окончание -              1 кв.2014</t>
  </si>
  <si>
    <t>1 кв. 2017</t>
  </si>
  <si>
    <t>ООО "Страховая компания "Факел"</t>
  </si>
  <si>
    <t>№ RU 69320000-98 от 06.05.2015
(до 31.12.2017)</t>
  </si>
  <si>
    <t>ООО «Загородный дом»
г. Тверь, ул. Карбышева, д.1; 170043; 
Тел.415-209
ИНН 6905037865</t>
  </si>
  <si>
    <t>25-квартирный жилой дом                                Тверская обл., 
г. Западная Двина, 
ул. Горького, 34</t>
  </si>
  <si>
    <t>ЗАО СК "Авангард Полис";
ООО "Страховая Инвестиционная Компания";
ООО Страховое общество "ВЕРНА" (15.12.2015)</t>
  </si>
  <si>
    <t>начало - 
1 кв. 2015 окончание - 4 кв. 2016</t>
  </si>
  <si>
    <t>№ RU69320000-5 от 21.01.2015 срок действия до 30.11.2016г.</t>
  </si>
  <si>
    <t xml:space="preserve">ООО «ФинансИнвест»
г. Москва, ул. Клары Цеткин,  дом 4 А, строение 2, 127299,     ИНН 5043029356
</t>
  </si>
  <si>
    <t>начало -      3 кв. 2014
окончание 23.09.2015</t>
  </si>
  <si>
    <t>разрешение на строительство RU 69330000-169 от 24.12.2013
срок до 23.09.2015</t>
  </si>
  <si>
    <t>разрешение на строительство RU 69330000-170 от 24.12.2013 
срок до 23.09.2015</t>
  </si>
  <si>
    <t>начало -      2 кв. 2014, окончание -         2 кв.2016</t>
  </si>
  <si>
    <t>начало - 
2 кв. 2015
окончание - 4 кв. 2016</t>
  </si>
  <si>
    <t>RU 69510306-25 от 27.04.2015
 срок действия до 27.04.2017</t>
  </si>
  <si>
    <t>ООО «Страховая компания «Советская»; с 26.04.2016 - ООО «Региональная
страховая компания»</t>
  </si>
  <si>
    <t>разрешение на строительство 69-40-172-2015 от 27.07.2015 
срок действия до 11.01.2019</t>
  </si>
  <si>
    <t>начало - август 2015
окончание - январь 2019</t>
  </si>
  <si>
    <t>разрешение на строительство 69-40-296-2015 от 10.12.2015 
срок действия до 14.09.2018
(перерегистрация № 69-40-34-2016 от 19.02.2016; срок действия до 14.09.2018)</t>
  </si>
  <si>
    <t>начало -
 3 кв. 2014, окончание -      2 кв. 2016</t>
  </si>
  <si>
    <t>начало - 
1 кв. 2015; окончание - 1 кв. 2018</t>
  </si>
  <si>
    <t>№RU69310000-65 от 02.04.2015
срок действия до 15.11.2016</t>
  </si>
  <si>
    <t>ООО "Страховая компания "ИНТЕРПОЛИСТРАСТ"</t>
  </si>
  <si>
    <t>г. Тверь, ул. Оснабрюкская, д.29   (17-ти этажн. жилой дом   484 кв-ры)</t>
  </si>
  <si>
    <t>окончание- 1 этап - 2 кв. 2014, 2 этап - 4 кв. 2014, 3-й этап - 2 кв. 2015;                1-й и 2-й этапы - 4 кв. 2014, 3-й этап - 3 кв. 2015;                         4 квартал 2016;</t>
  </si>
  <si>
    <t>начало -
3 кв. 2013, окончание -       2 кв. 2016</t>
  </si>
  <si>
    <t xml:space="preserve">ООО «Лидер»
г. Москва, 
ул. Новочеремушинская, 
д. 21, корп. 1, 117218;
(факт.: г. Тверь, ул. Коняевская,3, 170017)                               ИНН 7727504067
</t>
  </si>
  <si>
    <t>разрешение на строительство RU 69330000-136 от 16.04.2013
срок действия до 16.03.2016</t>
  </si>
  <si>
    <t>разрешение на строительство RU 69320000-50 от 12.03.2015
срок действия до 12.03.2018</t>
  </si>
  <si>
    <t xml:space="preserve">МУП «Тверьстройзаказчик»
г.Тверь, пр-т Чайковского, д.1, корп.2, 170034,                            ИНН 6905008198
</t>
  </si>
  <si>
    <t>5-7 этажный-этажный жилой дом с помещениями общественного назначения г. Тверь, ул. Бакунина, д.13</t>
  </si>
  <si>
    <t>начало -
4 кв. 2013 окончание - 2 кв. 2015</t>
  </si>
  <si>
    <t>начало -
4 кв. 2013, окончание -          4 кв. 2014</t>
  </si>
  <si>
    <t>разрешение на ввод в эксплуатацию №RU69310000-152 от 25.12.2014</t>
  </si>
  <si>
    <t>начало - 
3 кв. 2015, окончание - 2 кв. 2017</t>
  </si>
  <si>
    <t>№ 69-40-187-2015 от 05.08.2015
срок действия до 31.05.2017</t>
  </si>
  <si>
    <t xml:space="preserve">ООО «Стройвек»
г. Тверь, ул. Чернышевского, д. 31, 170100                               ИНН 6950157272
</t>
  </si>
  <si>
    <t xml:space="preserve">9-10 этажный дом с нежилыми помещениями и подземным паркингом г. Тверь, ул. Ротмистрова, д. 35 (77 кв-р; 12 н.п.; 20 м/м)   </t>
  </si>
  <si>
    <t>2 кв. 2016</t>
  </si>
  <si>
    <t>разрешение на строительство RU 69-40-189-2015 от 05.08.2015 
срок действия до 31.03.2017</t>
  </si>
  <si>
    <t>10-этажный жилой дом со встроенными общественными помещениями: г. Тверь, ул. Склизкова, д 31, строение 1 (228 кв-р)</t>
  </si>
  <si>
    <t xml:space="preserve">ООО "ПСФ «Квартал»
г. Тверь, 
ул. Желябова, д. 3, 170100
ИНН 6905013230
</t>
  </si>
  <si>
    <t>г. Тверь, 
 ул. Желябова, д.48
(4-6 этаж.20 кв-р, 9 нежилых помещ, 21 стоянка)</t>
  </si>
  <si>
    <t>разрешение на строительство RU69340000-43 от 18.10.2013</t>
  </si>
  <si>
    <t>начало -
4 кв. 2013, окончание -       4  кв.2016</t>
  </si>
  <si>
    <t>начало -
2 кв. 2014, окончание -    4 кв.2016</t>
  </si>
  <si>
    <t xml:space="preserve">начало -
1 кв.2014               окончание -1-й этап -
3 кв. 2017 </t>
  </si>
  <si>
    <t>начало -
2 кв.2015 окончание -
3 кв. 2017</t>
  </si>
  <si>
    <t>окончание -
4 кв.2017</t>
  </si>
  <si>
    <t>Кимры</t>
  </si>
  <si>
    <t>юр</t>
  </si>
  <si>
    <t>Макар 2-й этап</t>
  </si>
  <si>
    <t>физ</t>
  </si>
  <si>
    <t>Макар 2-й этап 2 блок</t>
  </si>
  <si>
    <t>Макар 2-й этап 1 блок</t>
  </si>
  <si>
    <t>ООО "СК Коместра";
ООО "Страховая компания "Советская";
АО "Международная страховая компания профсоюзов" "МЕСКО";
ООО "Региональная страховая компания"</t>
  </si>
  <si>
    <t>ООО "ДСК-Логистика" 
г. Тверь, Петербургское шоссе, 95, 170036
ИНН 6952034452</t>
  </si>
  <si>
    <t>Жилой дом №2 со встроенными помещениями общественного назначения, г. Тверь, ул. Фрунзе
(480 кв-р)</t>
  </si>
  <si>
    <t>начало -
3 кв. 2014 окончание - 4 кв. 2016</t>
  </si>
  <si>
    <t>начало - сентябрь 2014  окончание -
 4 кв. 2015</t>
  </si>
  <si>
    <t>16-этажный жилой дом со встроенными помещениями общественного назначения г. Тверь, ул. Левитана, 
д . 58, к. 2 (231 кв-ра)</t>
  </si>
  <si>
    <t>ООО "СК "Высота"; 
ООО "Региональная страховая компания" с 05.11.2015</t>
  </si>
  <si>
    <t xml:space="preserve">ООО «Стройгруп»
юрид.: г. Тверь, ул. Московская, д. 82, оф. 3, 170100
почтовый: г. Тверь, а/я № 202, 
ИНН 6901081976
</t>
  </si>
  <si>
    <t>разрешение на строительство RU 69320000-20 от 09.04.2014 сроком до 31.10.2015
срок продлен до 25.05.2016</t>
  </si>
  <si>
    <t>9-ти этажный многоквартирный жилой дом, г. Тверь, ул. Терещенко, д. 13 (81 кв-ра)</t>
  </si>
  <si>
    <t>начало -
2 кв. 2014 окончание - 1 кв. 2016</t>
  </si>
  <si>
    <t>15-17-этажный жилой дом  Ориентир: г. Тверь, ул. Орджоникидзе, д. 49, корп. 7
(209 кв-р, 7 встроенных помещений общественного назначения, детский сад)</t>
  </si>
  <si>
    <t>разрешение на ввод в эксплуатацию №69-40-132-2015 от 22.12.2015</t>
  </si>
  <si>
    <t>разрешение на ввод в эксплуатацию №69-40-98-2015 от 23.10.2015</t>
  </si>
  <si>
    <t>17-этажный жилой дом; ориентир: г. Тверь, 
ул. Орджоникидзе, д. 49, корп. 8 (221 кв-ра)</t>
  </si>
  <si>
    <t>разрешение на строительство RU 69-440-233-2015 от 25.09.2015</t>
  </si>
  <si>
    <t>начало - 
4 кв. 2015
окончание - 4 кв. 2017</t>
  </si>
  <si>
    <t>начало - июль 2015, окончание - 2 кв. 2017</t>
  </si>
  <si>
    <t>№69-40-143-2015 от 29.06.2015
срок действия до 05.06.2017</t>
  </si>
  <si>
    <t>ООО "Тэско Групп"   
г. Тверь,Тверской пр-кт, д. 3, 170100;          
ИНН 6952040350</t>
  </si>
  <si>
    <t xml:space="preserve">ООО «Элиан»
г. Тверь, Тверской пр-т, д. 3, 170100,
ИНН 6901034380
</t>
  </si>
  <si>
    <t>разрешение на строительство RU 69310000-423 от 05.08.2013с изменениями 
срок действия до 19.12.2017</t>
  </si>
  <si>
    <t xml:space="preserve">начало -
февраль 2015
окончание - 4 кв. 2017
</t>
  </si>
  <si>
    <t xml:space="preserve">ООО «Северо-Западное СМУ № 16»
юрид.: г. Москва, пр-кт Мира, д. 102, корп. 02, 129626;
 г. Нелидово, Шахтерское шоссе, 
д. 24
ИНН 6912010712
</t>
  </si>
  <si>
    <t xml:space="preserve">Тверская обл, 
г. Нелидово, ул. Чайковского, д.8 (18 квартир)
</t>
  </si>
  <si>
    <t>окончание - 4 кв. 2015</t>
  </si>
  <si>
    <t xml:space="preserve">Тверская обл, 
г. Нелидово, ул. Чайковского, д.8 (13 квартир)
</t>
  </si>
  <si>
    <t>начало -
4 кв. 2015
окончание - 4 кв. 2016</t>
  </si>
  <si>
    <t>ООО "Удача Юго-Запад"
г. Тверь, 
ул. Московская, д. 1, пом. XL,
 ИНН 6950035323</t>
  </si>
  <si>
    <t>58 квартирный жилой дом, Тверская обл., Калининский р-н, Никулинское с/п, д. Кривцово, ул. Удачная, 
д. 1</t>
  </si>
  <si>
    <t>ООО "Удача Юго-Запад МБ"  
 г. Тверь, ул. Московская, д. 1, пом. XL, 170100,
ИНН 6950037218</t>
  </si>
  <si>
    <t>начало -  
4 кв. 2015, окончание - 4 кв. 2016</t>
  </si>
  <si>
    <t>7-ми квартирный жилой дом со встроенным гаражом и мансардой г. Тверь, ул. Взлетная, д.1, корп.1 (2-х этаж.таунхаус)</t>
  </si>
  <si>
    <t>2 кв. 2015; 2 кв. 2016</t>
  </si>
  <si>
    <t>начало - 
4 кв. 2013
окончание - 4 кв.2014</t>
  </si>
  <si>
    <t>начало - 
4 кв. 2014
окончание -1 кв. 2016</t>
  </si>
  <si>
    <t>начало - 
1 кв. 2015
окончание - 3 кв.2016</t>
  </si>
  <si>
    <t>разрешение на строительство RU 69320000-693 от 11.11.2014</t>
  </si>
  <si>
    <t>разрешение на строительство
RU 69320000-693 от 11.11.2014</t>
  </si>
  <si>
    <t>№ RU 69301000-1-2016 от 29.04.2016 
№ RU 69301000-2-2016 от 29.01.2016
срок действия до 29.01.2017</t>
  </si>
  <si>
    <t>Два 2-этажных многоквартирных жилых дома, Тверская обл, 
г. Вышний Волочек, 
ул. Рылеева, д. 34, корпус 13, 14 (26 кв-р)</t>
  </si>
  <si>
    <t>начало -
1 кв. 2016 окончание -
4 кв. 2016</t>
  </si>
  <si>
    <t xml:space="preserve">16-этажный, 326-квартирный жилой дом по адресу: г. Тверь, ул. Левитана, д.60 
(д. 58, корп. 1)
</t>
  </si>
  <si>
    <t>№ RU 69320000-79 от 21.04.2015
срок действия до 31.01.2017</t>
  </si>
  <si>
    <t>начало - 
2 кв. 2015
окончание -
2 кв. 2016</t>
  </si>
  <si>
    <t xml:space="preserve">ООО  «Спектр»
г. Тверь, Петербургское ш.,  д. 95, офис 5, 170036,
почтовый: г. Тверь,
ул. Румянцева, д. 9, 170026
ИНН 6952031123
</t>
  </si>
  <si>
    <t>Многоквартирный жилой дом г. Тверь, пер. Трудолюбия, д. 4, корп. 2 (3 эт. с мансардой;
28 кв-р)</t>
  </si>
  <si>
    <t>начало -
4 кв. 2013, окончание - 4 кв. 2014</t>
  </si>
  <si>
    <t>Многоквартирный жилой дом г. Тверь,
пер. Трудолюбия, д. 4, корп. 3 (3 эт. с мансардой;
29 кв-р)</t>
  </si>
  <si>
    <t>Многоквартирный жилой дом г. Тверь, ул. Трудолюбия, 6 (3 эт. с мансардой, с помещениями обществ. назначения, 64 кв-ры)</t>
  </si>
  <si>
    <t xml:space="preserve">2 кв. 2015/ 4 кв. 2015/ 2 кв. 2016 </t>
  </si>
  <si>
    <t xml:space="preserve">разрешение на ввод в эксплуатацию № 69-40-27-2016 от 21.04.2016 </t>
  </si>
  <si>
    <t>ООО "Жираф"
г. Тверь, ул. Новоторжская, д. 22а                      ИНН 6901063078</t>
  </si>
  <si>
    <t xml:space="preserve">начало  –
4 кв. 2014 
окончание – 2 кв. 2016 
</t>
  </si>
  <si>
    <t>16-этажный жилой дом 
(1 этап) 
 г. Тверь, ул. Ротмистрова, д. 29Г 
(ул. Терещенко, д. 6) (125 кв-р; 30 хоз. кладовок)</t>
  </si>
  <si>
    <t xml:space="preserve">разрешение на строительство RU 69320000-671 от 17.10.2014
срок действия до 30.10.2016  </t>
  </si>
  <si>
    <t xml:space="preserve">ЗАО СК «Тверьгражданстрой»
г. Тверь, пр-т Победы, д.7, 
170034; 
ИНН 6905007518
</t>
  </si>
  <si>
    <t xml:space="preserve">начало -
 4 кв. 2013, окончание - 4 кв. 2014 </t>
  </si>
  <si>
    <t xml:space="preserve">разрешение на строительство RU 69310000-428 от 22.08.2013
срок действия до 22.12.2014 </t>
  </si>
  <si>
    <t>разрешение на ввод в эксплуатацию  № 69-40-126 2015 от 18.12.2015</t>
  </si>
  <si>
    <t>разрешение на ввод в эксплуатацию  № 69-40-1-2016 от 12.01.2016</t>
  </si>
  <si>
    <t>3 кв. 2015;
2 кв. 2016</t>
  </si>
  <si>
    <t xml:space="preserve">ООО «ТверьЖилДорСтрой»
г. Тверь, пр-т Чайковского д. 2, 170034;
ИНН 6905076977
</t>
  </si>
  <si>
    <t>Многоквартирный 8-10 этажн. жилой дом с боксами для хранения автомобилей 
г. Тверь, ул. Кольцевая, д.81 (91 кв-ра, 18 гараж. боксов) 1 этап</t>
  </si>
  <si>
    <t>начало -
4 кв.2013, окончание -
4 кв.2016</t>
  </si>
  <si>
    <t>Многоквартирный 10 этажн. жилой дом с боксами для хранения автомобилей 
г. Тверь, ул. Кольцевая, д.81 (68 кв-р, 7 гараж. боксов) 2 этап</t>
  </si>
  <si>
    <t>Блокированный 2-этажн. жилой дом с боксами для хранения автомобилей 
г. Тверь,
ул. Заречная, д. 9 (6 кв-р )</t>
  </si>
  <si>
    <t>начало -
1 кв. 2015, окончание - 3 кв. 2016</t>
  </si>
  <si>
    <t>5-этажный жилой дом  с боксами для хранения автомобилей 
г. Тверь, ул. Заречная, д. 15 (36 кв-р; 15 гаражн. боксов)</t>
  </si>
  <si>
    <t>начало -
сентябрь 2015, окончание-  4 кв. 2017</t>
  </si>
  <si>
    <t>разрешение на строительство 
№ 69-40-186-2015 от 05.08.2015
срок действия до 06.05.2018</t>
  </si>
  <si>
    <t>разрешение на строительство RU 69310000-698 от 19.11.2014
 срок действия 17.07.2016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</si>
  <si>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</si>
  <si>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</si>
  <si>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>96 квартирный 5-6 этажный жилой дом "1", Тверская обл., Конаковский р-н, д. Мокшино</t>
  </si>
  <si>
    <t>118 квартирный 5-6 этажный жилой дом "2", Тверская обл., Конаковский р-н, д. Мокшино</t>
  </si>
  <si>
    <t>начало -
1 кв. 2016 окончание -
4 кв. 2017</t>
  </si>
  <si>
    <t>начало -
3 кв. 2015 окончание -
4 кв. 2016</t>
  </si>
  <si>
    <t>разрешение на строительство №69-RU69515318-186-2015 от 22.07.2015 сроком до 13.12.2016</t>
  </si>
  <si>
    <t>начало -
2 кв. 2015 окончание -
4 кв. 2016</t>
  </si>
  <si>
    <t xml:space="preserve">ООО «Каскад-Строй»
г. Тверь, 
ул. Новоторжская,    
 д. 22а, 170100                         ИНН 6950111479
</t>
  </si>
  <si>
    <t>начало -
2 кв.2014, окончание -      1 кв. 2016</t>
  </si>
  <si>
    <t xml:space="preserve">разрешение на ввод в эксплуатацию № RU 69-40-133-2015 от 24.12.2015 </t>
  </si>
  <si>
    <t>Многоквартирный жилой дом со встроенными помещениями общественного назначения 
г. Тверь, ул. Склизкова, д. 44/27 – 2-й этап (3-10-этаж. 16-кв-р; 14 н.п.)</t>
  </si>
  <si>
    <t>начало-
2 кв. 2014    окончание -
4 кв. 2015</t>
  </si>
  <si>
    <t>16-этажный жилой дом 
(3-й этап строительства)
г. Тверь, ул. Терещенко, д. 6, корп. 2 
(207 кв-р)</t>
  </si>
  <si>
    <t xml:space="preserve">начало -      2 кв. 2015, окончание -  2 кв. 2018
</t>
  </si>
  <si>
    <t>до 30.05.2016</t>
  </si>
  <si>
    <t xml:space="preserve">разрешение на ввод в эксплуатацию № 69-40-21-2016 от 31.03.2016 </t>
  </si>
  <si>
    <t>начало -
4 кв. 2014 окончание - 1 кв. 2016</t>
  </si>
  <si>
    <t>11-этажный жилой дом в квартале Южый Д (2 очередь строительства
1-ый этап), г. Тверь, Бурашевское ш., д. 62
 (78 кв-р, 55 н.п.)</t>
  </si>
  <si>
    <t>разрешение на строительство RU69-40-136-2015 от 23.06.2015
срок действия до 31.12.2016</t>
  </si>
  <si>
    <t>разрешение на строительство RU 69320000-727 от 19.12.2014
 срок действия до 30.04.2016</t>
  </si>
  <si>
    <t>ОАО "СК "ВНЕШЭКОНОМСТРАХ"</t>
  </si>
  <si>
    <t>9-этажный  жилой дом со встроенными нежилыми помещениями
г. Тверь, ул. Левитана, д.48 (208 кв-р)</t>
  </si>
  <si>
    <t>начало -
2 кв. 2014    окончание - 2 кв. 2016</t>
  </si>
  <si>
    <t>разрешение на строительство № RU 69320000-29 от 07.05.2014
срок действия до 31.08.2016</t>
  </si>
  <si>
    <t>ООО "СК "КОМЕСТРА",
ОАО "СК "МРСК"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</si>
  <si>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</si>
  <si>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</si>
  <si>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"Барс"
Тверская обл., Конаковский р-н, 
г. Конаково, ул. 1-я Набережная, д. 52, кв. 7,  171254,
ИНН 6950162145</t>
  </si>
  <si>
    <t>ООО "Премьер стройсервис" 
г. Тверь, ул. Симеоновская, д. 41,
оф. 41, 170100; 
ИНН 6950170650</t>
  </si>
  <si>
    <t>10-ти этажный жилой дом с помещениями общественного назначения в цокольном этаже, 8-й этап строит-ва,
г. Тверь, ул. Озерная, д.7, корп. 8 (80 кв-р; 39 н.п.)</t>
  </si>
  <si>
    <t>начало -
2 кв. 2013
окончание - 4 кв. 2015</t>
  </si>
  <si>
    <t>разрешение на ввод в эксплуатацию № 69-40-129-2015 от 21.12.2015</t>
  </si>
  <si>
    <t xml:space="preserve">ООО «Премьер»
г. Тверь, 
ул. Симеоновская, 41, 170100; 
ИНН 6901053898
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</si>
  <si>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</si>
  <si>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</si>
  <si>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</si>
  <si>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</si>
  <si>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</si>
  <si>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</si>
  <si>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</si>
  <si>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</si>
  <si>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</si>
  <si>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</si>
  <si>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ООО «ДУ Гражданстрой»
г. Тверь, ул. Коняевская, 15, 170017 
ИНН 6903002602</t>
  </si>
  <si>
    <t>начало -
1 кв. 2013
окончание - 1 кв. 2019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</si>
  <si>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42 кв-ры, 3 н.п., 8 м/м)
</t>
  </si>
  <si>
    <t>3 кв. 2017</t>
  </si>
  <si>
    <t>начало -
4 кв. 2014
окончание - 3 квартал 2016</t>
  </si>
  <si>
    <t>12-этажный жилой дом
г. Тверь, б-р Гусева, д. 58 (1 этап, 1-я б/секция - 47 кв-р, 25 хоз. кладовых)
(Южная ночь)</t>
  </si>
  <si>
    <t>12-этажный жилой дом
г. Тверь, б-р Гусева, д. 58 (1 этап, 2-я б/секция - 36 кв-р, 27 хоз. кладовых)
(Южная ночь)</t>
  </si>
  <si>
    <t>начало - август 2013 
окончание - 4 кв. 2015</t>
  </si>
  <si>
    <t>начало - август 2013 
окончание - 2 кв. 2016</t>
  </si>
  <si>
    <t>начало -
1 кв. 2015
окончание - 2 кв. 2017</t>
  </si>
  <si>
    <t xml:space="preserve">ООО «РСК-недвижимость»
юрид.: г. Тверь, б-р Радищева , д. 39, оф. 4, 170100
факт. : г. Тверь, Володарского, д. 3, 170100
ИНН 6905061843
</t>
  </si>
  <si>
    <t>начало -
2  кв. 2012
окончание - 2 кв. 2014</t>
  </si>
  <si>
    <t>3-х этажный жилой дом с мансардой и подвалом с нежилыми общественного назначения, автостоянкой,
г. Тверь, ул. Крылова, д.7  (15 кв-р; 5 н.п.; 8 м/м)</t>
  </si>
  <si>
    <t>начало -
4 кв.2012
окончание - 4 кв. 2014</t>
  </si>
  <si>
    <t>начало -
4 кв. 2013
окончание - 4 кв. 2015</t>
  </si>
  <si>
    <t>разрешение на строительство №69-40-294-2015 от 02.12.2015</t>
  </si>
  <si>
    <t>3-этажный многоквартирный жилой дом
Тверская обл., Лихославльский р-н,
г. Лихославль, ул. Ленина, д. 42а (3-я очередь строит-ва)</t>
  </si>
  <si>
    <t xml:space="preserve">Многоквартирный жилой дом с помещениями общественного назначения
г. Тверь,
Петербургское шоссе, д.38, корп.1 (2-я очередь строит-ва; 10- этажн., 36 кв-р, 3 н.п.) 
</t>
  </si>
  <si>
    <t>начало -
4 кв. 2015
окончание - 1 полугод 2018</t>
  </si>
  <si>
    <t>ООО "ИНТЭК"
г. Тверь, ул. Красина, 
д. 46/38, 170041
ИНН 6952013526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</si>
  <si>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</si>
  <si>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</si>
  <si>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</si>
  <si>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12-этажный многоквартирный жилой дом со встроенными помещениями обществ. назначения
г. Тверь, ул. 2-я Красина, д. 49 (165 кв-р, 5 н.п.)</t>
  </si>
  <si>
    <t xml:space="preserve">ООО «Тугулымская деревообрабатывающая компания» (ООО "ТДК")
г. Тюмень,  ул. Авторемонтная, д. 31а, 625017
ИНН 6655005018
</t>
  </si>
  <si>
    <t>5-этажный жилой дом со встроенными нежилыми помещениями
Тверская обл, г. Ржев,
ул. Калинина</t>
  </si>
  <si>
    <t>разрешение на строительство №RU693033000-86 от 16.08.2012</t>
  </si>
  <si>
    <t>начало - сентябрь 2012
окончание - 4 кв. 2013</t>
  </si>
  <si>
    <t>4 кв. 2014
30.12.2015
30.12.2016</t>
  </si>
  <si>
    <t>25-квартирный 3-этажный жилой дом, 
Тверская обл., Калязинский р-н, 
г. Калязин, ул. Ленина, 
д. 38</t>
  </si>
  <si>
    <t>начало -  
1 кв. 2016, окончание - 1 кв. 2017</t>
  </si>
  <si>
    <t>ООО "НиколоГрад"
г. Тверь, Тверской пр-кт, д. 9, пом. VIII, 170100; 
ИНН 6950030798</t>
  </si>
  <si>
    <t>начало - 25.10.2010
окончание - 30.03.2013</t>
  </si>
  <si>
    <t>3-х этажный многоквартирный малоэтажный дом
позиция 1 
 г. Кимры, ул. Титова, д.13А (57 кв-р)</t>
  </si>
  <si>
    <t>3-х этажный многоквартирный малоэтажный дом
позиция 3
 г. Кимры, ул. Титова, д.13А (57 кв-р)</t>
  </si>
  <si>
    <t>начало-
 4 кв. 2013
окончание - 3 кв. 2014</t>
  </si>
  <si>
    <t>ООО "СтройКонтинент" 
г. Тверь,ул. В. Новгорода, д. 5, 170100
ИНН 6950139509</t>
  </si>
  <si>
    <t xml:space="preserve">ООО «Диалог»
Тверская обл., Бологовский район, 
г. Бологое,  ул. Глубочиха, 171080 
ИНН 6907011407
</t>
  </si>
  <si>
    <t xml:space="preserve">4 малоэтажных 10-квартирных дома Бологовский р-н, Куженкинское с.п. 
с. Куженкино, ул. Полевая, д.13    
</t>
  </si>
  <si>
    <t>начало -
3 кв. 2014 
окончание - 3 кв. 2015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</si>
  <si>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</si>
  <si>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</si>
  <si>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</si>
  <si>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2-этажный с мансардой жилой дом г. Тверь, ул. 1-я Александра Невского, д. 10, корп. 20
(6 кв-р; 8 м/м)</t>
  </si>
  <si>
    <t>разрешение на строительство 6931000-691 от 07.11.2014 
продлено до 07.08.2016</t>
  </si>
  <si>
    <t xml:space="preserve"> 2 этап жилого дома,     148 кв. по адресу: 
г. Тверь, ул. Планерная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</si>
  <si>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</si>
  <si>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</si>
  <si>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</si>
  <si>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 xml:space="preserve">Многоквартирный жилой дом с помещениями общественного назначения
г. Тверь,
ул. Московская, д. 1 (2-я очередь строит-ва; 1-я блок-секция; 10- этажн., 31 кв-ра; 4 н.п.) 
</t>
  </si>
  <si>
    <t>начало -
2 кв. 2016    окончание - 4 кв. 2018</t>
  </si>
  <si>
    <t>разрешение на строительство № 69-40-109-2016 от 11.05.2016
срок действия до 05.03.2018</t>
  </si>
  <si>
    <t>начало -
2 кв. 2016
окончание - 1 кв. 2018</t>
  </si>
  <si>
    <t>2 кв. 2016
3 кв. 2016</t>
  </si>
  <si>
    <t>ООО "Стройтраст" 
г.Тверь, Октябрьский пр-т, д. 99, оф.106, 170043,
ИНН 6950188320</t>
  </si>
  <si>
    <t>ООО "Тверская Инвестиционная Группа"
г. Тверь, ул. Веры Бонч-Бруевич, д. 16, 170006
ИНН 6950122939</t>
  </si>
  <si>
    <t>Многоквартирный жилой дом с выделенными парковочными местами по адресу: Тверская обл., Калининский р-н, Никулинское СП, д. Рябеево, д. 30 (24 кв-ры, 25 н.п., 10 парк. мест)</t>
  </si>
  <si>
    <t xml:space="preserve">начало -      3 кв. 2015, окончание -  2 кв. 2017
</t>
  </si>
  <si>
    <t>ООО "СтройСити"
г. Тверь, ул. Мусоргского, д. 12, помещение XLXII, 170026
ИНН 6952002531</t>
  </si>
  <si>
    <t xml:space="preserve">ООО «Деко»
г. Тверь, пр-т Калинина 1Б, офис 7, 170001;  
ИНН 6950138625
</t>
  </si>
  <si>
    <t xml:space="preserve">ООО «Квадрат»
юрид.: г. Москва, ул. Бутлерова, д. 2, корп. 1, 117485 
факт. : г. Тверь, 
пр-т Чайковского, д. 19а, к. 402, 170034
ИНН 6905024760
</t>
  </si>
  <si>
    <t>АО СФ «Тверьагрострой»
г. Тверь, пр-т Чайковского, 
д.19а, 170034
ИНН 6905008053</t>
  </si>
  <si>
    <t>12-этажный жилой дом
г. Тверь, б-р Гусева, д. 58 (1 этап, 3-я б/секция - 47 кв-р, 26 хоз. кладовых)
(Южная ночь)</t>
  </si>
  <si>
    <t>начало -
1 кв. 2015
окончание - 4 кв. 2017</t>
  </si>
  <si>
    <t>ООО "Региональная страховая компания"/АО "ЮниКредит Банк"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</si>
  <si>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</si>
  <si>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</si>
  <si>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Желябова</t>
  </si>
  <si>
    <t>начало -
3 кв.2019 окончание -
1 кв. 2021</t>
  </si>
  <si>
    <t>Жилой комплекс "Макар"
г. Тверь,
ул. Макарова, д.4 
2-й этап первый блок
(16 этаж.), (114 кв-р, 26 н.п., 23 автостоянки)</t>
  </si>
  <si>
    <t>Жилой комплекс "Макар"
г. Тверь,
ул. Макарова, д.4
2-й этап второй блок
(16 этаж.), (60 кв-р, 15 н.п., 7 автостоянок)</t>
  </si>
  <si>
    <t xml:space="preserve">начало -
2 кв. 2016
окончание - 1 кв. 2018 </t>
  </si>
  <si>
    <t>начало -
1 кв. 2016        окончание - 3 кв. 2017</t>
  </si>
  <si>
    <t xml:space="preserve">ООО «Стройбилдинг»
г. Тверь, ул. Хромова, д. 84, комн. 11б, 170039;
почт.: г. Тверь, пр. Ленина, д. 18/1, 170024;
ИНН 6901082419
</t>
  </si>
  <si>
    <t xml:space="preserve">г Тверь, ул. Московская, д.63 (2-й этап) 16 этаж.         (98 кв-р; 77 парк. мест; 9 нежилых помещений обществ. назначения)    </t>
  </si>
  <si>
    <t xml:space="preserve">ООО «Риэлт-Сервис»
 г. Тверь, ул. Павлова, 
д. 10/10, оф. 205
ИНН 6905052567
</t>
  </si>
  <si>
    <t>ООО «Зеленый остров»
г. Тверь, ул. Новоторжская, д.22 А, 170100
ИНН 6901016656</t>
  </si>
  <si>
    <t>№RU69320000-34 от 17.02.2015, с изменениями от 10.03.2015, от 22.07.2015, от 18.04.2016
срок действия до 01.02.2020</t>
  </si>
  <si>
    <t>разрешение на ввод в эксплуатацию № 69-40-45-2016 от 30.06.2016</t>
  </si>
  <si>
    <t>14-этажный, 991 квартирный жилой дом (17 блок-секция) по адресу: г. Тверь, б-р Гусева, 57</t>
  </si>
  <si>
    <t>14-этажный, 335 квартирный жилой дом (6 блок-секция) по адресу: г. Тверь, б-р Гусева, 59</t>
  </si>
  <si>
    <t>разрешение на ввод в эксплуатацию 69-40-42-2016 от 30.06.2016</t>
  </si>
  <si>
    <t>ООО "ДСК-Проект 3"
 г. Тверь, Петербургское ш., д. 95, 170036, 
ИНН 6952035505</t>
  </si>
  <si>
    <t>ООО "Строй-Мода",
Тверская обл., г. Ржев, ул. Республиканская, 
д. 11/30, 172386;
ИНН 6914013268</t>
  </si>
  <si>
    <r>
      <t xml:space="preserve">разрешение на строительство RU 69310000-389 от 15.05.2013 (продлено 69-40-12-2016 от 22.01.2016) </t>
    </r>
    <r>
      <rPr>
        <sz val="11"/>
        <color theme="1"/>
        <rFont val="Times New Roman"/>
        <family val="1"/>
        <charset val="204"/>
      </rPr>
      <t>№69-40-5-2016 от 11.01.2016</t>
    </r>
  </si>
  <si>
    <t>начало -
1 кв. 2015
окончание - 2 кв.2016</t>
  </si>
  <si>
    <t>начало -
1 кв. 2015
окончание - 4 кв. 2016</t>
  </si>
  <si>
    <t>3-этажный многоквартирный жилой дом (44 кв-ры)
Тверская обл., Лихославльский р-н,
г. Лихославль, ул. Первомайская, д. 29а</t>
  </si>
  <si>
    <t>начало - 
3 кв. 2015
окончание - 3 кв. 2016</t>
  </si>
  <si>
    <t>3-этажный многоквартирный жилой дом (30 кв-р)
Тверская обл., Лихославльский р-н,
г. Лихославль, ул. Ленина, д. 42 (2-я очередь строит-ва)</t>
  </si>
  <si>
    <t>начало - 
4 кв. 2015
окончание - 3 кв. 2016</t>
  </si>
  <si>
    <t>начало -
3 кв. 2015
окончание - 3 кв. 2016</t>
  </si>
  <si>
    <t>разрешение на строительство 69-527-77-2015 от 29.12.2015
срок действия до 29.06.2016; продлен до 29.12.2016</t>
  </si>
  <si>
    <t>2-х этажный жилой дом для переселения граждан из аварийного жилья
 (16 кв-р), Тверская обл., Ржевский р-н, с/п Хорошево, д. Хорошево</t>
  </si>
  <si>
    <t>начало - 
1 кв. 2016
окончание - 15.12.2016</t>
  </si>
  <si>
    <t>ООО "Регтональная страховая компания"</t>
  </si>
  <si>
    <t>начало -
2 кв. 2016 
окончание -
4 кв. 2017</t>
  </si>
  <si>
    <t>138 квартирный 7 этажный жилой дом "6", Тверская обл., Конаковский р-н, д. Мокшино</t>
  </si>
  <si>
    <t>разрешение на строительство №69-RU69515318-228-2016 от 21.04.2016 сроком до 21.12.2017</t>
  </si>
  <si>
    <t xml:space="preserve">ЗАО СК "Авангард Полис"; 
ООО "Региональная страховая компания"   </t>
  </si>
  <si>
    <t>разрешение на ввод в эксплуатацию № 69-RU69510312-31-2015 от 29.12.2015</t>
  </si>
  <si>
    <t>начало -      2 кв. 2013, окончание -         2 кв.2017</t>
  </si>
  <si>
    <t xml:space="preserve">2 полугод 2018;
4 кв. 2018
</t>
  </si>
  <si>
    <t>разрешение на строительство №69-40-104-2016 от 29.04.2016
срок действия до 30.04.2019</t>
  </si>
  <si>
    <t>№69-40-108-2016 от 11.05.2016
срок действия до 24.01.2024</t>
  </si>
  <si>
    <t>разрешение на строительство № RU 69-40-110-2016 от 11.05.2016
срок действия до 01.09.2018</t>
  </si>
  <si>
    <t>разрешение на строительство 69-40-162-2016 от 01.07.2016 (срок до 27.04.2018) (взамен RU 69330000-176 от 27.01.2014)</t>
  </si>
  <si>
    <t>разрешение на строительство 69-40-161-2016 от 01.07.2016 (срок до 11.05.2018 (взамен № RU 69330000-179 от 11.02.2014)</t>
  </si>
  <si>
    <t>разрешение на строительство 69-40-164-2016 от 01.07.2016 (срок до 13.06.2018) (взамен RU 69330000-180 от 13.03.2014)</t>
  </si>
  <si>
    <t xml:space="preserve">разрешение на ввод в эксплуатацию № 69-40-31-2016 от 24.05.2016 </t>
  </si>
  <si>
    <t>№69-40-30-2016 от 15.02.2016 
срок действия до 25.11.2016
(перерегистрация №69-40-234-2015 от 25.09.2015)</t>
  </si>
  <si>
    <t>ООО "Страховая компания "Советская";
ООО "Страховая компания "Универс-Гарант";
ООО "Региональная страховая компания";
ООО "Страховая компания "РЕСПЕКТ"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</si>
  <si>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</si>
  <si>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</si>
  <si>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</si>
  <si>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ОАО «Страховая компания «МРСК»;
ООО "Страховая компания "Советская";
ОАО Страховая компания "ВНЕШЭКОНОМСТРАХ"</t>
  </si>
  <si>
    <t>ООО Страховая компания "Универс-Гарант"</t>
  </si>
  <si>
    <t>разрешение на ввод в эксплуатацию № 69-RU-69510312-008-2016 от 29.03.2016</t>
  </si>
  <si>
    <t>начало -  
2 кв. 2016, окончание - 2 кв. 2017</t>
  </si>
  <si>
    <t>№69 RU69510312-045-2016 от 21.04.2016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</si>
  <si>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</si>
  <si>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>№69-40-72-2016 от 30.03.2016
срок действия до 20.06.2017</t>
  </si>
  <si>
    <t xml:space="preserve">начало -      апрель 2016, окончание -  3 кв. 2017
</t>
  </si>
  <si>
    <t xml:space="preserve"> 9-ти секционный 3-этажный жилой дом 1
(6 этап)
г. Тверь, мкр. "Южный-Д" в гр. ул. Вологодская, Мирная, Новая</t>
  </si>
  <si>
    <t>начало -
 3 кв. 2015, 
окончание - 
3 кв. 2016</t>
  </si>
  <si>
    <t>ООО "Индустрия"
Вологодская обл., 
г. Вологда, 
ул. Предтеченская, д. 45, кв. 47, 160000, 
ИНН 3525321105</t>
  </si>
  <si>
    <t>№69-40-129-2015 от 11.06.2015 
(перерегистрация в связи со сменой застройщика №69-40-19-2016 от 02.02.2016)
срок действия до 11.12.2017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</si>
  <si>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</si>
  <si>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</si>
  <si>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
4 кв. 2011
окончание - 4 кв. 2014</t>
  </si>
  <si>
    <t xml:space="preserve">      31.03.2015;                 4 кв. 2016; 31.03.2017</t>
  </si>
  <si>
    <t>Три 3-этажных жилых дома  
Тверская обл.
г. Бологое, Западный м-н, д. 1 (84 кв-ры)</t>
  </si>
  <si>
    <t>начало -
26.12.2013
окончание - 2 полугодие 2015</t>
  </si>
  <si>
    <t>1 полугодие 2016
2 полугодие 2016</t>
  </si>
  <si>
    <t>начало -
апрель 2014, окончание -          2 кв. 2015</t>
  </si>
  <si>
    <t>1 кв. 2016; 3 кв. 2016</t>
  </si>
  <si>
    <t>ОАО "СОГАЗ"</t>
  </si>
  <si>
    <t>10-ти этажный жилой дом со встроенным помещением торгово-офисного назначения и подземным паркингом
г. Тверь, ул. Резинстроя, д. 7/6 (40 кв-р; 3 офиса; 14 парк.мест)</t>
  </si>
  <si>
    <t>разрешение на строительство RU69-40-238-2015 от 04.10.2015 сроком до 30.04.2017</t>
  </si>
  <si>
    <t>начало - 
4 кв. 2015, окончание -         2 кв. 2017</t>
  </si>
  <si>
    <t>разрешение на строительство RU 69320000-67 от 26.11.2013
сроком до 31.03.2016
продлено до 30.06.2016, 01.08.2016</t>
  </si>
  <si>
    <t>начало -
декабрь 2013, окончание -        март 2016</t>
  </si>
  <si>
    <t>разрешение на строительство 69-40-290-2015 от 26.11.2015
сроком до 30.11.2017</t>
  </si>
  <si>
    <t>1 кв. 2016
2 кв. 2016</t>
  </si>
  <si>
    <t xml:space="preserve">ООО «Дельта»
юрид: г. Тверь, наб. реки Лазури, 
д. 15, стр. 1, 170028;
факт: г. Тверь, ул. Озерная, 
д. 14, корп. 1; 
ИНН 6950020888
</t>
  </si>
  <si>
    <t>разрешение на строительство RU 69310000-330 от 01.11.2012; изменения RU 69310000-420 от 25.07.2013; RU 69310000-482 от 25.12.2013
сроком до 31.12.2019</t>
  </si>
  <si>
    <t>4 кв. 2015
1 кв. 2016</t>
  </si>
  <si>
    <t>разрешение на ввод в эксплуатацию №69-40-8-2016 от 26.02.2016</t>
  </si>
  <si>
    <t>разрешение на ввод в эксплуатацию №69-40-10-2016 от 26.02.2016</t>
  </si>
  <si>
    <t xml:space="preserve">разрешение на ввод в эксплуатацию № 69-40-11-2016 от 26.02.2016 </t>
  </si>
  <si>
    <t>3 кв. 2017
31.01.2018</t>
  </si>
  <si>
    <t>начало -      1 полугодие 2015, окончание - 1 полугодие 2016</t>
  </si>
  <si>
    <t>начало -
4 кв. 2013
окончание -
4 квартал 2017 г.</t>
  </si>
  <si>
    <t>Тверская область, Калининский р-н, Бурашевское сельское поселение, д. Слободка (блок-секция №1-2) (4-х этажн, 20 кв-р)</t>
  </si>
  <si>
    <t>Тверская область, Калининский р-н, Бурашевское сельское поселение, д. Слободка (блок-секция №1-1) (4-х этажн, 20 кв-р)</t>
  </si>
  <si>
    <t>начало -
4 кв. 2012, окончание - 4 кв. 2015</t>
  </si>
  <si>
    <t>ООО "Жилстройинвест"
г. Тверь, ул. Красные Горки, д. 32, 170100
ИНН 6901053270</t>
  </si>
  <si>
    <t xml:space="preserve">ООО «Атлант»
г. Тверь, ул. 15 лет Октября, д. 52, корп. 1, оф. XV, 170008,
ИНН 6901081366
</t>
  </si>
  <si>
    <t>начало -      3 кв. 2015 окончание -  1 кв. 2017</t>
  </si>
  <si>
    <t>начало -
4 кв. 2015
окончание - 30.09.2016</t>
  </si>
  <si>
    <t>разрешение на строительство  № RU69515318-172  от 15.05.2015 г.  Сроком до 02.09.2016</t>
  </si>
  <si>
    <t>начало -
2 кв. 2015 окончание 
4 кв. 2016</t>
  </si>
  <si>
    <t>начало -
4 кв. 2015 
окончание -
4 кв. 2017</t>
  </si>
  <si>
    <t xml:space="preserve">ООО «ЦЕНТРСТРОЙ»
г. Тверь, пр-т Калинина, 
д. 1Б, 170001; 
почта: а/я 380;
ИНН 6905064139
</t>
  </si>
  <si>
    <t>№69-08-28-2015 от 30.10.2015</t>
  </si>
  <si>
    <t>Среднеэтажная жилая застройка
Тверская обл., Западнодвинский р-н, 
г. Западная Двина, 
ул. Ленина (26 кв-р)</t>
  </si>
  <si>
    <t>начало -      4 кв. 2015, окончание -  3 кв. 2016</t>
  </si>
  <si>
    <t xml:space="preserve">ООО «Новые энергоэффективные качественные строительные технологии» (НЭКСТ)
Московская обл., 
г. Климовск, 
ул. Симферопольская, 
д. 49, корп. 2, пом. XII, 142184
ИНН 5021020543
</t>
  </si>
  <si>
    <t>4-этажный, жилой дом с помещениями торгово-офисного назначения ,
г. Тверь, Зеленый проезд, д. 16 (позиция 3) 
(30 кв-р; 1 н.п.)</t>
  </si>
  <si>
    <t>разрешение
RU 69310000-521 от 21.05.2014
срок действия до 11.04.2016
срок продлен до 11.01.2017</t>
  </si>
  <si>
    <t>начало -
4 кв. 2013
окончание - 2 кв. 2016</t>
  </si>
  <si>
    <t>Подземный паркинг 
на 49 машиномест
г. Тверь, ул. Левитана, д.48</t>
  </si>
  <si>
    <t>разрешение на строительство № 69-40-287-2015 от 13.11.2015 
срок действия до 31.12.2016</t>
  </si>
  <si>
    <t>начало -
1 кв. 2016    окончание - 4 кв. 2016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</si>
  <si>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</si>
  <si>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>RU 69310000-722 от 12.12.2014
срок действия 
07.04.2017</t>
  </si>
  <si>
    <t>начало -
4 кв. 2014 окончание -
3 кв. 2016</t>
  </si>
  <si>
    <t>разрешение на ввод в эксплуатацию №69-40-131-2015 от 21.12.2015</t>
  </si>
  <si>
    <t xml:space="preserve">ООО «Стройсервис № 3»
г. Тверь, ул. Московская, д. 82, оф. 22, 170100
ИНН 6904039531
</t>
  </si>
  <si>
    <t>Многоэтажный жилой дом; ориентир: г. Тверь, 
ул. Планерная, ж/д № 1 дом №1 (170 кв-р)</t>
  </si>
  <si>
    <t>Многоэтажный жилой дом; ориентир: г. Тверь, 
ул. Планерная, ж/д № 2дом №2 (248 кв-р)</t>
  </si>
  <si>
    <t xml:space="preserve">начало -      февраль 2016, окончание -  4 кв. 2016
</t>
  </si>
  <si>
    <t>ЗАО "Инжилстрой"
г. Тверь, б-р Радищева, 
д. 56, 170100
Почтовый адрес: г. Тверь, ул. Мусоргского, д. 36,  170041 
ИНН 6905064019</t>
  </si>
  <si>
    <t>4-этажный жилой дом с административно-офисными помещениями по адресу: г. Тверь,
пл. Пожарная, д. 3
(15 кв-р, 4 адм.-офисных помещений; 15 парк. мест)</t>
  </si>
  <si>
    <t>разрешение на строительство RU 69302000-5 от 18.03.2014; №69-RU69302000-28-2015 от 08.12.2015
 срок действия до 08.10.2016 продлено до 30.12.2016</t>
  </si>
  <si>
    <t>ООО "Экспертиза" 
г. Тверь, пр. Победы,
 д. 7, 170034
ИНН 6950119492</t>
  </si>
  <si>
    <t>разрешение на строительство RU693300000-684 от 24.10.2014 срок до 31.08.2015 (продлен до 29.06.2017) (взамен №RU6933000-160 от 29.10.2013)</t>
  </si>
  <si>
    <t>3 кв. 2016
4 кв. 2016</t>
  </si>
  <si>
    <t>ООО "Юникс-строй" 
Тверская обл., г. Ржев, ул. Солнечная, д. 22А, 172387
ИНН 6914010475</t>
  </si>
  <si>
    <t>3-этажный 30 квартирный жилой дом 
Тверская обл., Ржевский р-н, с/п Победа, п. Победа</t>
  </si>
  <si>
    <t>№69-527-47-2015 от 30.07.2015</t>
  </si>
  <si>
    <t>начало -      18.08 2015, окончание -  15.11.2016</t>
  </si>
  <si>
    <t>ООО "Страховая компания "УНИВЕРС-ГАРАНТ"</t>
  </si>
  <si>
    <t>16-этажный жилой дом 
(5-й этап строительства)
г. Тверь, ул. Терещенко, д. 6, корп. 4 
( кв-ры)</t>
  </si>
  <si>
    <t>разрешение на ввод в эксплуатацию № 69-40-22-2016 от 31.03.2016</t>
  </si>
  <si>
    <t>разрешение на ввод в эксплуатацию №69-ru69304000-47-2016 от 21.07.2016</t>
  </si>
  <si>
    <t>Извещение об окончании строительства</t>
  </si>
  <si>
    <t>№6 от 30.09.20016</t>
  </si>
  <si>
    <t>№1 от 03.10.2016</t>
  </si>
  <si>
    <t>начало -
2 кв. 2016
окончание - 1 кв. 2025</t>
  </si>
  <si>
    <t>14-этажный жилой дом с цокольным этажом, сблокировнааный из 10 блок-секций, по адресу: г. Тверь, Гусева б-р, д .56, 2  этап (5-6 секции) (112 кв-р; 4 н.п.)</t>
  </si>
  <si>
    <t>14-этажный жилой дом с цокольным этажом, сблокировнааный из 10 блок-секций, по адресу: г. Тверь, Гусева б-р, д. 56, 4 этап (7-8 секции) (111 кв-р; 5 н.п.)</t>
  </si>
  <si>
    <t>14-этажный жилой дом с цокольным этажом, сблокировнааный из 10 блок-секций, по адресу: г. Тверь, Гусева б-р, д . 56 , 2  этап (9-10 секции) (112 кв-р; 5 н.п.)</t>
  </si>
  <si>
    <t>1 кв. 2017
2 кв. 2017</t>
  </si>
  <si>
    <t xml:space="preserve"> 2 кв. 2017
4 кв. 2017</t>
  </si>
  <si>
    <t>№10 от 17.10.2016</t>
  </si>
  <si>
    <t>Двухсекционный 11-ти этажный жилой дом, 
г. Тверь, мкр. "Южный-Д" (2 очередь строительства
2-ый этап), г. Тверь, Бурашевское ш., д. 64
(78 кв-р, 2 н.п.)</t>
  </si>
  <si>
    <t>ООО "Региональная страховая компания";
ООО "Страховая комания "РЕСПЕКТ"</t>
  </si>
  <si>
    <t>начало -
сентябрь 2016,
окончание -
апрель 2018</t>
  </si>
  <si>
    <t xml:space="preserve">разрешение на строительство 69-ru69304000-215-2016 от 06.09.2016
срок действия до 30.04.2018
</t>
  </si>
  <si>
    <t>Многоквартирный 
10-этажный жилой 2-х секционный дом
 г. Тверь, 1-й пер. Вагонников, д. 2 
(6-я очередь 2 этап строительства) (79 кв-р)</t>
  </si>
  <si>
    <t>начало -сентябрь 2016            окончание - 2 кв. 2019</t>
  </si>
  <si>
    <t>разрешение на строительство 69-ru69304000-225-2016 от 23.09.2016
действия до 23.06.2020</t>
  </si>
  <si>
    <t xml:space="preserve">9-ти этажный многоквартирный жилой дом, г. Тверь, ул. Терещенко, д. 13 </t>
  </si>
  <si>
    <t>ООО "ИнвесСтрой"
г. Тверь, ул. Московская, д. 82, оф.3-6, 170100
(8-903-695-57-28)
ИНН 6950192083</t>
  </si>
  <si>
    <t>подано заявление о выдаче заключения от 20.10.2016</t>
  </si>
  <si>
    <t>разрешение на строительство №69-ru304000-197-2016 от 15.08.2016 (взамен RU69-40-156-2015 от 08.07.2015) срок действия до 30.09.2017</t>
  </si>
  <si>
    <t>разрешение на ввод в эксплуатацию №69-40-29-2016 от 29.04.2016; №69-40-36-2016 от 15.06.2016</t>
  </si>
  <si>
    <t>разрешение на ввод в эксплуатацию №69-40-44-2016 от 30.06.2016</t>
  </si>
  <si>
    <t>разрешение на ввод в эксплуатацию №69-ru693040000-46-2016 от 20.07.2016</t>
  </si>
  <si>
    <t>3-этажный жилой дом с подвалом и мансардой, с помещениями общественного назначения и автостоянкой (4 кв-ры,
1 н.п., 10 м/м)
 г. Тверь, ул. Чернышевского, д .4</t>
  </si>
  <si>
    <t>разрешение на ввод в эксплуатацию №69-ru693040000-48-2016 от 29.07.2016</t>
  </si>
  <si>
    <t xml:space="preserve">разрешение на ввод в эксплуатацию № 69-ru69304000-50-2016 от 11.08.2016 </t>
  </si>
  <si>
    <t xml:space="preserve">разрешение на ввод в эксплуатацию № 69-ru69304000-54-2016 от 08.09.2016 </t>
  </si>
  <si>
    <t>разрешение на ввод в эксплуатацию №69-ru69304000-55-2016 от 09.09.2016</t>
  </si>
  <si>
    <t>разрешение на ввод в эксплуатацию № 69-ru69304000-60-2016 от 16.09.2016</t>
  </si>
  <si>
    <t>разрешение на ввод в эксплуатацию № 69-ru69304000-61-2016 от 27.09.2016</t>
  </si>
  <si>
    <t>начало -
октябрь 2016, окончание-  4 кв. 2018</t>
  </si>
  <si>
    <t>5-этажный жилой дом  с боксами для хранения автомобилей 
г. Тверь, ул. Заречная, д. 19 (30 кв-р; 11 гаражн. боксов)</t>
  </si>
  <si>
    <t>разрешение на строительство 
№ 69-ru69304000-232-2016 от 04.10.2016
срок действия до 04.10.2018</t>
  </si>
  <si>
    <t>№28-10 от 28.10.2016</t>
  </si>
  <si>
    <t>№4 от 23.11.2016</t>
  </si>
  <si>
    <t>2 кв. 2015;                  2 полугодие 2015;  
2 полугодие 2016</t>
  </si>
  <si>
    <t>разрешение на ввод в эксплуатацию № 69-RU69302000-3-216 от 20.02.2016</t>
  </si>
  <si>
    <t>разрешение на ввод в эксплуатацию № 69-522000-31-2015 от 30.12.2015</t>
  </si>
  <si>
    <t>4 кв. 2014
1 кв. 2015
2 кв. 2015
3 кв. 2015
1 кв. 2016
3 кв. 2016</t>
  </si>
  <si>
    <t>договор поручительства  №ПРС-7064/16 от 12.10.2016 с АО "ЮниКредит Банк"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</si>
  <si>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</si>
  <si>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</si>
  <si>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</si>
  <si>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ООО "Тверьжилстрой"
г. Тверь, пр-кт Чайковского, д. 19а, 
оф. 601, 170034
ИНН 6950192615; 
8-960-706-48-80</t>
  </si>
  <si>
    <t>ООО "Новое Чагино"
г. Тверь, ул. Медниковская, д. 1/28, оф. 22, 170100,
ИНН 6950192615;
(4822) 77-70-57</t>
  </si>
  <si>
    <t>5-ти этажный жилой многоквартирный дом по адресу: Тверская обл., Калининский р-н, Бурашевское с/п, 
с. Бурашево, ул. Ватутина, уч. 3</t>
  </si>
  <si>
    <t xml:space="preserve">разрешение на строительство №69-510305-200-2016 от 19.10.2016, срок действия до 19.07.2018 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</si>
  <si>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</si>
  <si>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</si>
  <si>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разрешение на строительство №69-515105-4-2016 от 10.06.2016 (взамен №69-515105-2-2016 от 26.01.2016) , срок действия до 26.02.2017 </t>
  </si>
  <si>
    <t>ООО "Главстрой"
г. Тверь, 
ул. Трехсвятская, д. 17, 
оф. 23, 170100
ИНН 6950031752</t>
  </si>
  <si>
    <t>начало - 
3 кв. 2015 окончание -
1 кв 2016</t>
  </si>
  <si>
    <t>начало - 
2 кв. 2016 окончание -
2 кв. 2017</t>
  </si>
  <si>
    <t>№ 69-510312-061-2016 от 06.06.2016
срок действия до 06.06.2018</t>
  </si>
  <si>
    <t>57 квартирный жилой дом, Тверская обл., Калининский р-н, Никулинское с/п,
 д. Кривцово, ул. Уютная, 
д. 4</t>
  </si>
  <si>
    <t>2 квартирный жилой дом, Тверская обл., Калининский р-н, Никулинское с/п,
 д. Кривцово, ул. Удачная, 
д. 7</t>
  </si>
  <si>
    <t>№ 69-510312-064-2016 от 08.06.2016
срок действия до 08.06.2017</t>
  </si>
  <si>
    <t>ООО "ТИСК"
Тверская обл., 
г. Торжок, 
ул. Металлистов, д. 1-д, 
пом. 14 , 172003,
ИНН 6915014433</t>
  </si>
  <si>
    <t>RU 69305000-42/2 от 20.04.2015, продлено до 30.06.2016; 
до 30.10.2016</t>
  </si>
  <si>
    <t>Филиал "Северо-Запад" ООО "Страховое общество "Купеческое";
ООО "Страховая Компания "Советская";
АО "Международняя страховая компания профсоюзов "МЕСКО";
ООО "Региональная страховая компания"</t>
  </si>
  <si>
    <t>Открытое страховое акционерное общество "Ингосстрах"</t>
  </si>
  <si>
    <t>№2/16 от 16.11.2016</t>
  </si>
  <si>
    <t xml:space="preserve">АО «СУ  № 155»
г. Москва, Ленинский проспект, д. 81, 119261  
факт: г. Москва, ул. Малая Ордынка,
 д. 15, 119017
 ИНН 7736003162
</t>
  </si>
  <si>
    <t>разрешение на строительство №69-40-135-2016 от 09.06.2016 (взамен RU 69310000-438 от 25.09.2013)</t>
  </si>
  <si>
    <t xml:space="preserve">начало – 
25 сентября 2013 года 
 окончание –  
II квартал 2015 года
</t>
  </si>
  <si>
    <t>18-этажный жилой дом со встроенными обшественными помещениями
ул. Хромова, д. 29</t>
  </si>
  <si>
    <t xml:space="preserve">начало  –  12 июля  2013 г.
окончание  – 4 квартал 2014 г.
</t>
  </si>
  <si>
    <t xml:space="preserve">начало –
27 мая 2013 
окончание  – 2 квартал 2015 г.
</t>
  </si>
  <si>
    <t>30.06.2016г.</t>
  </si>
  <si>
    <r>
      <t xml:space="preserve">ООО «Стройглавзаказчик» </t>
    </r>
    <r>
      <rPr>
        <strike/>
        <sz val="11"/>
        <rFont val="Times New Roman"/>
        <family val="1"/>
        <charset val="204"/>
      </rPr>
      <t>юр. адрес: 170100, Тверь, ул. Трехсвятская, д. 10, оф. 317
юр. Адрес: 170100, ул. Трехсвятская, д. 17, оф. 24</t>
    </r>
    <r>
      <rPr>
        <sz val="11"/>
        <rFont val="Times New Roman"/>
        <family val="1"/>
        <charset val="204"/>
      </rPr>
      <t xml:space="preserve">
Республика Татарстан, г. Казань, ул. Адоратского, д. 12, помещение 1Н, офис 25, 420133
ИНН 6950148870</t>
    </r>
  </si>
  <si>
    <t>разрешение на строительство 69-40-134-2016 от 03.06.2016
(RU 69310000-439 от 25.09.2013)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</si>
  <si>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</si>
  <si>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</si>
  <si>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</si>
  <si>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</si>
  <si>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</si>
  <si>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</si>
  <si>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</si>
  <si>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</si>
  <si>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</si>
  <si>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</si>
  <si>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>2 кв. 2015г.
 4 кв. 2015г.
 30.06.2016
23.04.2018</t>
  </si>
  <si>
    <t>4 кв. 2015 г.   2 кв. 2016 г. 31.12.2016
02.03.2018</t>
  </si>
  <si>
    <t>2 кв. 2017
31.08.2017</t>
  </si>
  <si>
    <t xml:space="preserve">ООО  СК «СтройДом»
г. Тверь, 
ул. Московская, д.1, 
оф. 49, 170100
ИНН 6952039958
</t>
  </si>
  <si>
    <t>8-этажный 
64-квартирный жилой дом с помещениями общественного назначения г. Тверь, 
ул. Восстания</t>
  </si>
  <si>
    <t>начало -      апрель 2016, окончание -  3 кв. 2018</t>
  </si>
  <si>
    <t>ООО "ЖИРАФ и К"
г. Тверь, 
ул. Новоторжская, д. 22а, 
оф. 10, 170100
ИНН 6950185456</t>
  </si>
  <si>
    <t xml:space="preserve">начало -      3 кв. 2016, окончание -  1 кв. 2019
</t>
  </si>
  <si>
    <t xml:space="preserve">RU 69320000-682 от 24.10.2014
срок действия до 30.04.2016
продлено до
</t>
  </si>
  <si>
    <t xml:space="preserve"> Многоквартирный 9-ти этажный жилой дом с теплым чердаком, 
г. Тверь, 
ул. Луначарского, д. 18 (143 кв-ры)</t>
  </si>
  <si>
    <t>АО "ЮниКредит Банк"</t>
  </si>
  <si>
    <t>разрешение на строительство 
№69-RU510312-83-2015 от 22.05.2015
 срок действия до 22.05.2017</t>
  </si>
  <si>
    <t xml:space="preserve">ООО «Стройсервис № 3»
г. Тверь, ул. Взлетная,
д. 2, пом. VIII , 170016
ИНН 6950040203
(с 11.05.2016 правоприемник 
ООО "Стройсервис №3"
ИНН 6904039531)
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</si>
  <si>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</si>
  <si>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</si>
  <si>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12-этажный жилой дом "Треугольник", г. Тверь, ул. Оснабрюкская, д. 16, корп. 1
(66 кв-р, 2 н.п.)</t>
  </si>
  <si>
    <t>№ 69-40-178-2015 от 30.07.2015
 срок действия до 11.04.2017</t>
  </si>
  <si>
    <t>ООО "Главдевелопмент"
г.Тверь, 
ул. Трехсвятская, д. 17, офис 19, 170100
ИНН 6950034506</t>
  </si>
  <si>
    <t>16-этажный, 
182-квартирный жилой дом по адресу: г. Тверь, ул. Левитана, д.62 
(д.58, к. 3)</t>
  </si>
  <si>
    <t>№5 от 02.12.2016</t>
  </si>
  <si>
    <t>ООО "Стройглавзаказчик-3" 
г. Тверь, 
ул. Трехсвятская, д. 17,
офис 27, 170100
ИНН 6950172577</t>
  </si>
  <si>
    <t>ООО "ТверьДомСтрой"     г. Тверь, 
ул. Мусоргского, д. 12, 170026 
ИНН 6950175070</t>
  </si>
  <si>
    <t>Многоквартирный 8-ми этажный жилой дом со встроенными помещениями общественного назначения, г. Тверь,
 ул. 1-я Металлистов, д. 8 (42 кв-ры)</t>
  </si>
  <si>
    <t>ООО "Строительно-монтажное предприятие-69"
г. Тверь, Старицкое шоссе, д. 17, стр. 4, 
оф. 11, 170040,
ИНН 6950040860</t>
  </si>
  <si>
    <t xml:space="preserve">3-х этажный 30-квартирный жилой дом  по адресу: Тверская обл., Калининский р-н, с/п Михайловское, дер. Глазково, пер. Звездный, д. 5
</t>
  </si>
  <si>
    <t xml:space="preserve">начало -
 1 кв. 2016;
окончание - 
2 кв. 2017
</t>
  </si>
  <si>
    <t>разрешение на строительство №69-RU69510306-85-2015 от 06.10.2015 
срок действия до 06.10.2016 , продлен до 01.03.2017</t>
  </si>
  <si>
    <r>
      <rPr>
        <b/>
        <sz val="11"/>
        <rFont val="Times New Roman"/>
        <family val="1"/>
        <charset val="204"/>
      </rPr>
      <t>ЛИКВИДИРОВАНО
25.11.2016</t>
    </r>
    <r>
      <rPr>
        <sz val="11"/>
        <rFont val="Times New Roman"/>
        <family val="1"/>
        <charset val="204"/>
      </rPr>
      <t xml:space="preserve">
ООО "ДСК-Проект 1"            г. Тверь, Петербургское шоссе, 95, 170036                                 ИНН 6952034445
</t>
    </r>
  </si>
  <si>
    <t xml:space="preserve">ООО «Лорд»
Тверская обл., г. Ржев, Советская площадь,
д. 16, 172390, 
ИНН 6914013772
тел/факс 8(48232)2-25-84
</t>
  </si>
  <si>
    <t>9-этажный 2-х секционный жилой дом          
Тверская обл., г. Ржев, 
ул. Садовая, д. 22/29, 
секц.1
(99 кв-р)</t>
  </si>
  <si>
    <t>разрешение на ввод в эксплуатацию № 69-303000-032-2016 от 28.07.2016</t>
  </si>
  <si>
    <t>ООО "ГЛАВСЕРВИС"
г. Тверь, 
ул. Трехсвятская, д. 17, оф.18, 170100
ИНН 6950035027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</si>
  <si>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</si>
  <si>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>1-я и 2-я блок секция 
(1 этап) 5-ти секционного жилого дома со встроенными помещениями общественного назначения г. Тверь, ул. Маяковского, д.31  (4-9 этаж., 92 кв-ры, 4 н.п.)</t>
  </si>
  <si>
    <t>ООО "Дрим Хаус"
Тверская обл., 
г. В.Волочек, ул. 8-я Пролетарская, 
д. 35,171161
ИНН 6908010244</t>
  </si>
  <si>
    <t>Жилой комплекс из 8-ми многоквартирных сблокированных жилых домов г. Тверь, 
ул. Р. Люксембург, д. 68 корп. 4 (6,7 этап строит-ва) (39 кв-р, 15 м/м, 16 кладовых, 3 офиса)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</si>
  <si>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</si>
  <si>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</si>
  <si>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>2-х этажный 
10 квартирный жилой дом, Тверская обл., Калининский р-н, Никулинское с/п, 
д. Кривцово, ул. Летняя,
д. 12</t>
  </si>
  <si>
    <t>2-х этажный 
10 квартирный жилой дом, Тверская обл., Калининский р-н, Никулинское с/п, 
д. Кривцово, ул. Летняя,
д. 14</t>
  </si>
  <si>
    <t>№69-510312-059-2016 от 06.06.2016</t>
  </si>
  <si>
    <t>2-х этажный 
2 квартирный жилой дом, Тверская обл., Калининский р-н, Никулинское с/п, 
д. Кривцово, ул. Удачная,
д. 8</t>
  </si>
  <si>
    <t>№69-510312-097-2016 от 27.07.2016</t>
  </si>
  <si>
    <t>начало -  
3 кв. 2016, окончание - 2 кв. 2017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</si>
  <si>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</si>
  <si>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</si>
  <si>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>разрешение на строительство № 69-40-102-2016 от 28.04.2016 
срок действия до 24.02.2017
(взамен №RU 69310000-340 от 24.12.2012)</t>
  </si>
  <si>
    <t xml:space="preserve">ООО «Регионстрой»
г. Тверь, ул. Благоева, д. 44, пом. 4, 170041; 
ИНН 6901065639
</t>
  </si>
  <si>
    <t xml:space="preserve">Многоквартирный 9-ти этажный жилой дом, 
г. Тверь, Рябеевское шоссе, д.18 
(72 кв-ры)  </t>
  </si>
  <si>
    <t xml:space="preserve">4085,7
</t>
  </si>
  <si>
    <t xml:space="preserve">Реконструкция застройки квартала в границах улиц Роговик, Бонч-Бруевич, пер. Трудолюбия, пер. Беляковский в г. Твери - 4 этап строительства 8-9 этажный двухсекционный жилой дом, г. Тверь, пер. Трудолюбия, д. 36,  4-й этап, 8-9 этаж, 64 кв-ры  </t>
  </si>
  <si>
    <t>ООО "Стрек" 
Московская область,
 г. Дедовск, Центральная пл., д. 1, 143530
ИНН 5017069240</t>
  </si>
  <si>
    <t>"69" "511000" "2255" "2016" от 20.01.2016
срок действия до 20.09.2016
продлено до 29.12.2016</t>
  </si>
  <si>
    <t>7-ми этажный многоквартирный жилой дом со встроенными нежилыми помещениями г. Тверь, ул. Спартака, д. 40, 41, 40а (1 этап 1 и 2 очереди) (80 кв-р, 10 н.п.)</t>
  </si>
  <si>
    <t xml:space="preserve">ООО "ИнвестСтрой"
юрид.: г. Тверь, ул. Дачная, д. 5/51, 170021; 
факт.: г. Тверь, 
ул. С. Перовской, д. 8, 170006;
ИНН 6952036971 </t>
  </si>
  <si>
    <t>3-этажный 
35-квартирный жилой дом, 
 Тверская обл., Калининский р-н,
 д. Глазково, 
ул. Восточная, д. 6</t>
  </si>
  <si>
    <t>3-этажный 
35-квартирный жилой дом, 
 Тверская обл., Калининский р-н,
 д. Глазково, 
пер. Звездный, уч. 3</t>
  </si>
  <si>
    <t>№ 69-RU69510306-4-2016 от 25.02.2016
срок действия до 15.01.2017
продлено до 31.12.2017</t>
  </si>
  <si>
    <t>начало -      1 кв. 2016, окончание -  2 кв. 2017</t>
  </si>
  <si>
    <t xml:space="preserve">ООО «ЖСК Слободка»
юрид.: Тверская обл., Калининский р-н, дер. Слободка, д. 1А, 170541 
факт.: г. Тверь, Вагжановский переулок, д. 9, оф. 402
ИНН 6949006832
</t>
  </si>
  <si>
    <t>разрешение на строительство № RU 695100305-119 от 12.12.2012
срок действия до 12.12.2015
продлен до 15.09.2017</t>
  </si>
  <si>
    <t xml:space="preserve">ООО «Новый город» юрид.: Тверская обл., Калининский р-н, Черногубовское с/п, 
д. Дубровки, д. 46К, 170015, 
факт.: г. Тверь, 
 ул. Димитрова, 52, 170015; 
ИНН 6952034082
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</si>
  <si>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</si>
  <si>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</si>
  <si>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</si>
  <si>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</si>
  <si>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разрешение на строительство RU 6934000-51 от 16.03.2015 
срок действия до 31.07.2016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</si>
  <si>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</si>
  <si>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</si>
  <si>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</si>
  <si>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>ООО «Ма-Няня»
юрид.: г. Москва, 
ул. Новослободская, 
д. 14/19, стр. 8, пом II., 127055;
факт.: г. Москва, Пименовский тупик, 11А, стр. 1
ИНН 7705881199</t>
  </si>
  <si>
    <t>4 кв. 2014
1 кв. 2015
2 кв. 2015
3 кв. 2015
1 кв. 2016
 3 кв. 2016
4 кв. 2016</t>
  </si>
  <si>
    <t xml:space="preserve">  4 кв. 2015,
1 полугод 2016,
3 кв. 2016</t>
  </si>
  <si>
    <t xml:space="preserve">4 кв. 2016
</t>
  </si>
  <si>
    <t xml:space="preserve">Многоквартирный жилой дом с помещениями общественного назначения
г. Тверь,
Петербургское шоссе, д.38, корп.1 (3-я очередь строит-ва; 5-10- этажн., 44 кв-ры, 6 н.п. ) 
</t>
  </si>
  <si>
    <t xml:space="preserve">2 кв. 2015;
2 полугод 2015;
2 полугод 2016
        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</si>
  <si>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</si>
  <si>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</si>
  <si>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>17-этажный 
192-квартирный дом с помещениями общественного назначения на 1 этаже г. Тверь, район ст. Дорошиха, ул. Театралов и п. Черкассы, д. 18</t>
  </si>
  <si>
    <t>17-этажный 
320-квартирный дом с помещениями общественного назначения на 1 этаже г. Тверь, район ст. Дорошиха, ул. Театралов и п. Черкассы, д. 19</t>
  </si>
  <si>
    <t>17-этажный 
576-квартирный дом с помещениями общественного назначения на 1 этаже г. Тверь, район ст. Дорошиха, ул. Театралов и п. Черкассы, д. 16</t>
  </si>
  <si>
    <t>17-этажный 
320-квартирный дом с помещениями общественного назначения на 1 этаже г. Тверь, район ст. Дорошиха, ул. Театралов и п. Черкассы, д. 17</t>
  </si>
  <si>
    <t xml:space="preserve">начало - 
2 кв. 2016, окончание -
4 кв. 2018  </t>
  </si>
  <si>
    <t>начало - 
2 кв. 2016, окончание -
4 кв. 2019</t>
  </si>
  <si>
    <t>№ 69-40-32-2016 от 19.02.2016
(до 20.02.2019)</t>
  </si>
  <si>
    <t>Жилой дом №6:
17-этажный  
160-квартирный со встроенными помещениями общественного назначения, г. Тверь, 
ул. Склизкова</t>
  </si>
  <si>
    <t xml:space="preserve">начало - 
2 кв. 2016, окончание -
2 кв. 2018  </t>
  </si>
  <si>
    <t xml:space="preserve">начало - 
2 кв. 2016, окончание -
2 кв. 2017  </t>
  </si>
  <si>
    <t>1 кв. 2018</t>
  </si>
  <si>
    <t>151 квартирный 7-8 этажный жилой дом "4", Тверская обл., Конаковский р-н, д. Мокшино</t>
  </si>
  <si>
    <t>206 квартирный 6-8 этажный жилой дом "5", Тверская обл., Конаковский р-н, д. Мокшино
(1,3,4 этап строительства)</t>
  </si>
  <si>
    <t xml:space="preserve">Пятиэтажный многоквартирный жилой дом "В"  по адресу: Тверская область, Конаковский район, д. Мокшино, ул. Полевая, д. 10  (100 кв-р)  </t>
  </si>
  <si>
    <t>разрешение на ввод в эксплуатацию 69-RU69515318-66-2016 от 24.08.2016</t>
  </si>
  <si>
    <t>разрешение на ввод в эксплуатацию 69-RU69515318-67-2016 от 05.09.2016</t>
  </si>
  <si>
    <t>разрешение на ввод в эксплуатацию 69-RU69515318-68-2016 от 13.09.2016</t>
  </si>
  <si>
    <t>разрешение на ввод в эксплуатацию 69-RU69515318-69-2016 от 13.09.2016</t>
  </si>
  <si>
    <t>№ RU69320000-58 от 26.03.2015</t>
  </si>
  <si>
    <t>18-19 секции
- 4 кв. 2018; 
20-21 секции
- 2 кв. 2018</t>
  </si>
  <si>
    <t>25 секция - 4 кв. 2017
26-27 секции -
2 кв. 2017</t>
  </si>
  <si>
    <t>28 секция - 3 кв. 2017
29-31 секция - 
4 кв. 2017</t>
  </si>
  <si>
    <t>12-этажный жилой дом,
1 этап, г. Тверь, ул. Бобкова, д. 38 
(132 кв-ры)</t>
  </si>
  <si>
    <t>№ RU 69330000-84 от 24.04.2015 
(срок до 20.05.2017)</t>
  </si>
  <si>
    <t>начало -      2 кв. 2016, окончание -  3 кв. 2017</t>
  </si>
  <si>
    <t>2 кв. 2017</t>
  </si>
  <si>
    <t xml:space="preserve">ООО «Основание»
г. Тверь, ул. Скворцова-Степанова, д. 25, 170042 
ИНН 6950134821
</t>
  </si>
  <si>
    <t xml:space="preserve">ООО «ВТЭК»
г. Тверь, ул. Бочкина, 
д. 4, пом. 5, 170017,
ИНН 6901054161
</t>
  </si>
  <si>
    <t xml:space="preserve">ООО «Микро ДСК»
г. Тверь, ул. Колодкина, д. 11, 170002
 ИНН 6901042590
</t>
  </si>
  <si>
    <t xml:space="preserve">МУП «Тверьстройзаказчик»
г.Тверь, пр-т Чайковского, д.1, корп.2, 170034, 
 ИНН 6905008198
</t>
  </si>
  <si>
    <t xml:space="preserve">ООО «Каскад-Строй»
г. Тверь, 
ул. Новоторжская,    
 д. 22а, 170100 
ИНН 6950111479
</t>
  </si>
  <si>
    <t xml:space="preserve">ООО «Стройсервис № 3»
г. Тверь, ул. Взлетная,
д. 2, пом. VIII , 170016
ИНН 6950040203
</t>
  </si>
  <si>
    <t xml:space="preserve">ООО «Стройвек»
г. Тверь, ул. Чернышевского, д. 31, 170100 
ИНН 6950157272
</t>
  </si>
  <si>
    <t>ООО «СтройЖилКомплект»
 г. Тверь, Волоколамское шоссе, д. 49, оф. 29, 170043
ИНН 6950089576</t>
  </si>
  <si>
    <t xml:space="preserve">ООО «Восток»
г. Тверь, ул. Складская, д. 7, 170027
ИНН 6952013910
</t>
  </si>
  <si>
    <t>ООО "ЦентрСтрой" 
Псковская обл., г. Великие Луки, ул. 3 Ударной Армии, д. 64, 182100
ИНН 6025022293</t>
  </si>
  <si>
    <t>ООО "Жилфинанспроект"
г. Тверь, ул. Красные Горки, д. 32, 170100</t>
  </si>
  <si>
    <t>ООО "ГК "Мегаком" 
 г. Тверь, 
ул. С. Перовской, д. 8, 170006; 
ИНН 6950086423</t>
  </si>
  <si>
    <t>ООО "НОРД-ДЕВЕЛОПМЕНТ" 
 г. Москва, Каширское ш., д. 57, корп. 2, 115211,  
 ИНН 7724882896</t>
  </si>
  <si>
    <t>ООО "Жираф"
г. Тверь, ул. Новоторжская, д. 22а 
ИНН 6901063078</t>
  </si>
  <si>
    <t>ООО "Авиатор"
г. Тверь, Петербургское ш., д. 95, 
170036
ИНН 6952006039</t>
  </si>
  <si>
    <t xml:space="preserve">начало -
 4 кв. 2015;
окончание - 
2 кв. 2017
</t>
  </si>
  <si>
    <t xml:space="preserve">разрешение на строительство №69-40-58-2016 от 22.03.2016 (перегистрация № 69-40-233 от 25.09.2015)
срок действия до 0 </t>
  </si>
  <si>
    <t xml:space="preserve">248-квартирный жилой дом №2 со встроенными помещениями общественного назначения  11 этажей, 
г. Тверь, ул. Планерная
</t>
  </si>
  <si>
    <t>разрешение на строительство 69-510312-060-2016 от 06.06.2016
 срок
действия до 06.06.2017</t>
  </si>
  <si>
    <t xml:space="preserve">г. Тверь, Затверецкая наб., д. 36, корп. 1  
(3-й этап)
(3-6 этаж. 89 кв-р)
</t>
  </si>
  <si>
    <t xml:space="preserve">5-ти этажный многоквартирный жилой дом с нежилыми помещениями в цокольном этаже по адресу: Тверская обл., Конаковский р-н, пгт Радченко, д. 76 
(112 кв-р; </t>
  </si>
  <si>
    <t xml:space="preserve">начало -
окончание - 
2 кв. 2017
</t>
  </si>
  <si>
    <t xml:space="preserve">август 2016г.;
4 кв. 2016
</t>
  </si>
  <si>
    <t>ООО "Балт-страхование";
ООО "Страховое общество "Жива";
ООО "Страховая инвестиционная компания";
АО «Международная страховая компания профсоюзов» «МЕСКО»;
ООО "Региональная страховая компания";
ООО "Страховая компания "РЕСПЕКТ"</t>
  </si>
  <si>
    <t>ООО "Страховая инвестиционная компания"; 
АО «Международная страховая компания профсоюзов» «МЕСКО»;
ООО "Региональная страховая компания";
ООО "Страховая компния "РЕСПЕКТ"</t>
  </si>
  <si>
    <t>22-этажный жилой дом   г. Тверь, ул. Складская, 164 (3 этап, поз.6)
(218 кв-р)</t>
  </si>
  <si>
    <t>начало -       1 кв. 2014, окончание -       3 кв. 2015</t>
  </si>
  <si>
    <t>Многоквартирный жилой дом
г. Тверь, ул. Коробкова, д. 20, корп. 1 (4-я очередь строит-ва, 10 этаж., 49 кв-р)</t>
  </si>
  <si>
    <t>Многоквартирный жилой дом со встроенными помещениями общественного назначения и подземной автостоянкой
г. Тверь, ул. 1-я Трусова, д. 2  (1 этап строительства, 
2 блок-секц., 42 кв-ры, 6 н.п., 10 м/м)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</si>
  <si>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 2  (1 этап строительства, 
3 блок-секц., 56 кв-р, 3 н.п., 8 м/м)
</t>
  </si>
  <si>
    <t>разрешение на строительство №RU69330000-150 от 15.08.2013</t>
  </si>
  <si>
    <t>Многоквартирный жилой дом со встроенными нежилыми помещениями г. Тверь, ул. Благоева, д. 32
(36 кв-р; 17 н.п.)</t>
  </si>
  <si>
    <t>15.06.2016
15.09.2016
15.05.2017</t>
  </si>
  <si>
    <t>2-этажный жилой дом
 г. Тверь, ул. 1-я Александра Невского, 
д. 10, корп. 19 
(2 кв-ры)</t>
  </si>
  <si>
    <t>2-этажный жилой дом
 г. Тверь, ул. 1-я Александра Невского, 
д. 10, корп. 17 
(8 кв-р)</t>
  </si>
  <si>
    <t>2-этажный жилой дом     г. Тверь, ул. 1-я А. Невского, д.10, корп. 14 (6 кв-р)</t>
  </si>
  <si>
    <t>2-этажный с мансардой жилой дом г. Тверь, ул. 1-я Александра Невского, д. 10, корп. 16 
(7 кв-р; 39 м/м)</t>
  </si>
  <si>
    <t>начало - 01.11.2012
окончание -31.12.2019</t>
  </si>
  <si>
    <t xml:space="preserve">9-ти секционный 3-этажный жилой дом 2 
(5 этап)
г. Тверь, мкр. "Южный-Д" в гр. ул. Вологодская, Мирная, Новая </t>
  </si>
  <si>
    <t xml:space="preserve">9-ти секционный 3-этажный жилой дом 3 
(4 этап)
г. Тверь, мкр. "Южный-Д" в гр. ул. Вологодская, Мирная, Новая </t>
  </si>
  <si>
    <t>3 кв. 2016; 4 кв. 2016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</si>
  <si>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</si>
  <si>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</si>
  <si>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</si>
  <si>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разрешение на строительство RU 69320000-670 от 17.10.2014
срок действия до 30.10.2016 , 
продлен до 30.09.2017</t>
  </si>
  <si>
    <t>16-этажный жилой дом
(2 этап)  
г. Тверь, ул. Ротмистрова, д. 29Г 
(ул. Терещенко, д. 6, корп. 1) (79 кв-р; 19 хоз. кладовок)</t>
  </si>
  <si>
    <t>RU 69320000-680 от 24.10.2014
срок действия до 30.10.2016;
продлен до 30.09.2018</t>
  </si>
  <si>
    <t>5-ти этажный многоквартирный жилой дом со встроенными помещениями общественного назначения и подземной автостоянкой по адресу: г. Тверь, ул. Павлова, 
д. 17, 19, 21</t>
  </si>
  <si>
    <t>Многоквартирный  жилой дом, 1 этап;
 250 кв. по адресу:
г. Тверь, ул. Планерная</t>
  </si>
  <si>
    <t>ООО "Страховая Компания "РЕСПЕКТ"</t>
  </si>
  <si>
    <t xml:space="preserve">9-этажный 168-квартирный жилой дом с помещениями общественного назначения 3-й этап строит-ва
г. Тверь, ул. Учительская, д.6, корп.1   </t>
  </si>
  <si>
    <t>Многоквартирный 
7-10 этажный жилой дом
 г. Тверь, ул. Фрунзе, 
д. 24 
(1-я очередь 3 этап строительства) (78 кв-р)</t>
  </si>
  <si>
    <t>разрешение на строительство
RU69310000-492 от 10.02.2014 взамен RU 69310000-125 от 22.02.2011 сроком до 12.05.2017</t>
  </si>
  <si>
    <t>3-этажный 21-квартирный жилой дом
Тверская обл., г. Бежецк, ул. Чудова, д. 69</t>
  </si>
  <si>
    <t>разрешение на ввод в эксплуатацию №69-502101-47-2015 от 04.10.2016</t>
  </si>
  <si>
    <t>Многоквартирный 3-х этажный жилой дом        Тверская обл., Калининский р-н, Заволжское с.п., д. Николо Малица, ул. Молодежная, 1 "А"      (45 кв-р)</t>
  </si>
  <si>
    <t>3 кв. 2016
30.11.2016
30.01.2017</t>
  </si>
  <si>
    <t>14-этажный жилой дом с цокольным этажом, сблокированный из 10 блок-секций, по адресу: г. Тверь, Гусева б-р, д .56  1 этап (1-4 секции) 
(223кв-ры; 29 н.п.)</t>
  </si>
  <si>
    <t>ООО "Экспертиза" 
г. Тверь, пр-т Победы,
 д. 7, 170034
ИНН 6950119492</t>
  </si>
  <si>
    <t>ООО Страховое общество "ВЕРНА"</t>
  </si>
  <si>
    <t>№1 от 14.12.2016</t>
  </si>
  <si>
    <t>№9-12 от 09.12.2016</t>
  </si>
  <si>
    <t>б/н от 14.12.2016</t>
  </si>
  <si>
    <t>№16 от 19.12.2016</t>
  </si>
  <si>
    <t>11-ти этажный жилой дом с помещениями общественного назначения, 
г. Тверь, мкр. "Южный-Д" (2 очередь строительства
3-ый этап), 
 г. Тверь, Бурашевское ш., д. 66
(125 кв-р,  н.п.)</t>
  </si>
  <si>
    <t>16-этажный многоквартирный жилой дом с офисными помещениями, г. Тверь, ул. Б.Полевого, д. 9 
(213 кв-р; 9н.п.)</t>
  </si>
  <si>
    <t>ООО "Региональная страховая компания"; ООО "Страховая компания "РЕСПЕКТ"</t>
  </si>
  <si>
    <t xml:space="preserve">разрешение на строительство №69-40-12-2016 от 22.01.2016 срок действия до 31.12.2016 
продлен до 31.12.2017
(взамен RU 69340000-55 от 24.03.2015, взамен RU 69340000-51 от 25.10.2013) </t>
  </si>
  <si>
    <t>разрешение на строительство RU 69340000-51 от 25.10.2013 
№69-40-12-2016 от 22.01.2016 срок действия до 31.12.2016
продлен до 31.12.2017</t>
  </si>
  <si>
    <t xml:space="preserve">№69-40-12-2016 от 22.01.2016 срок действия до 31.12.2016
продлен до 31.12.2017
</t>
  </si>
  <si>
    <t>31.06.2016</t>
  </si>
  <si>
    <t>Разрешение на ввод в эксплуатацию объекта недвижимости</t>
  </si>
  <si>
    <t>3-4 кв. 2017</t>
  </si>
  <si>
    <t>в течение 3 мес. со дня ввода секции дома в эксплуатацию</t>
  </si>
  <si>
    <t>в течение 4 мес. со дня ввода секции дома в эксплуатацию</t>
  </si>
  <si>
    <t xml:space="preserve">3 кв. 2016
все ДДУ исполнены </t>
  </si>
  <si>
    <r>
      <rPr>
        <b/>
        <sz val="11"/>
        <rFont val="Times New Roman"/>
        <family val="1"/>
        <charset val="204"/>
      </rPr>
      <t>(ЛИКВИДИРОВАНО 27.12.2016)</t>
    </r>
    <r>
      <rPr>
        <sz val="11"/>
        <rFont val="Times New Roman"/>
        <family val="1"/>
        <charset val="204"/>
      </rPr>
      <t xml:space="preserve">
ООО «АртХаус»
г. Тверь, ул. Озерная, 
д. 14, корп. 1, 170008, ИНН 6901024343
</t>
    </r>
  </si>
  <si>
    <t>в течение 6 мес. со дня получения разрешения на ввод в эксплуатацию</t>
  </si>
  <si>
    <t>1 полугодие 2018</t>
  </si>
  <si>
    <t>2 полугодие 2018</t>
  </si>
  <si>
    <t>1 кв. 2021</t>
  </si>
  <si>
    <t>3 кв. 2016
все ДДУ исполнены</t>
  </si>
  <si>
    <t>не позднее 30.04.2016</t>
  </si>
  <si>
    <t>3 кв. 2016 все ДДУ исполнены</t>
  </si>
  <si>
    <t>не позднее 31.07.2016</t>
  </si>
  <si>
    <t>не позднее 31.01.2018</t>
  </si>
  <si>
    <t>не позднее 20.01.2018</t>
  </si>
  <si>
    <t>18-19 секции - 
4 кв. 2018
20-21 секции - 
2 кв. 2018</t>
  </si>
  <si>
    <t>не позднее 30.09.2016</t>
  </si>
  <si>
    <t>не позднее 30.09.2017</t>
  </si>
  <si>
    <t>2 кв. 2018</t>
  </si>
  <si>
    <t>до 01.01.2017</t>
  </si>
  <si>
    <t>до 01.02.2018</t>
  </si>
  <si>
    <t>3 кв. 2016
 все ДДУ исполнены</t>
  </si>
  <si>
    <t>1 кв. 2019</t>
  </si>
  <si>
    <t>4 кв. 2019</t>
  </si>
  <si>
    <t>3 кв. 2016 
все ДДУ исполнены</t>
  </si>
  <si>
    <t>в течение 6 мес. со дня получения разрешения на ввод в эксплуатацию, не позднее 30.06.2017</t>
  </si>
  <si>
    <t>до 01.10.2016</t>
  </si>
  <si>
    <t>до 19.12.2017</t>
  </si>
  <si>
    <t>2 полугодие 2016</t>
  </si>
  <si>
    <t>до 31.12.2016</t>
  </si>
  <si>
    <t>до 30.06.216</t>
  </si>
  <si>
    <t>до 30.06.2016</t>
  </si>
  <si>
    <t>до 31.10.2017</t>
  </si>
  <si>
    <t xml:space="preserve">не исполнен
1 ДДУ </t>
  </si>
  <si>
    <t>не исполнено 83 ДДУ</t>
  </si>
  <si>
    <t xml:space="preserve">не исполнено
8 ДДУ </t>
  </si>
  <si>
    <t>2 кв. 2016
все ДДУ исполнены</t>
  </si>
  <si>
    <t>1 кв. 2016
все ДДУ исполнены</t>
  </si>
  <si>
    <t>2 кв. 2016 
все ДДУ исполнены</t>
  </si>
  <si>
    <t>не позднее 31.12.2016</t>
  </si>
  <si>
    <t>2 кв. 2016
 все ДДУ исполнены</t>
  </si>
  <si>
    <t>начало -
январь 2016 окончание -        4 кв. 2017</t>
  </si>
  <si>
    <t>2 кв. 2016 
все ДДУ 
исполнены</t>
  </si>
  <si>
    <t>Многоэтажнный жилой дом со встроенными помещениями общественного назначения и подземной автостоянкой (2 этап строительства) корпус 2 и корпус 3
г.Тверь, ул. Красина, 
д. 46/38
(корп. 2 - 150 кв-р; 34 автостоянки, офисы;
корп. 3 - 40 кв-р; офисы)</t>
  </si>
  <si>
    <t>Многоэтажнный жилой дом со встроенными помещениями общественного назначения и подземной автостоянкой (3 этап строительства) корпус 1 
г.Тверь, ул. Красина, 
д. 46/38
(140 кв-р; 34 автостоянки, офисы)</t>
  </si>
  <si>
    <t>начало -
3 кв. 2015
окончание -
3 кв. 2017</t>
  </si>
  <si>
    <t>1 ДДУ 
не исполнено</t>
  </si>
  <si>
    <t xml:space="preserve">квартирный жилой дом , 
Тверская обл., Молоковский р-н, пгт Молоково, пл. Корнилова, д. 13
</t>
  </si>
  <si>
    <t>разрешение на строительство №</t>
  </si>
  <si>
    <t xml:space="preserve">начало -
;
окончание - 
</t>
  </si>
  <si>
    <t xml:space="preserve">начало -
окончание - </t>
  </si>
  <si>
    <t xml:space="preserve">Тверская обл, 
г. Нелидово, пер. Мира
</t>
  </si>
  <si>
    <t>ООО Производственно-строительная компания "Рубас"
г. Тверь, пер. Артиллерийский., д. 1А, 
170003
ИНН 6905083928</t>
  </si>
  <si>
    <t>ООО "Контакт+""
Тверская обл., 
г. Нелидово, 
ул. Первомайская, д. 44,
172523
ИНН 6912010600</t>
  </si>
  <si>
    <t xml:space="preserve">квартирный жилой дом , 
Тверская обл., г. Нелидово, ул. Кирова-Нахимова, 
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</si>
  <si>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</si>
  <si>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Многоквартирный 3-х этажный жилой дом по адресу: г. Тверь, б-р Затверецкий, д. 120</t>
  </si>
  <si>
    <t>Поступление отчетности за 4 квартал 2016 года</t>
  </si>
  <si>
    <t>информация о строящихся с привлечением средств участников долевого строительства объектах по данным ежеквартальной отчетности за 4 квартал 2016 года</t>
  </si>
  <si>
    <t xml:space="preserve">ООО "Жилой Квартал"  г. Тверь, пр-т Чайковского, д.27 Б, помещение 1-5, 170002, ИНН 6950183427 </t>
  </si>
  <si>
    <t>разрешение на строительство № 69-ru69304000-246-2016  от 18.11.2016</t>
  </si>
  <si>
    <t xml:space="preserve">начало - феврать 2017 года;
окончание -январь 2019 года </t>
  </si>
  <si>
    <t>начало -      2 кв. 2017, окончание -  3 кв. 2018</t>
  </si>
  <si>
    <t>30.09.2017 (информация из 1 ДДУ)</t>
  </si>
  <si>
    <t>ООО "ВОЛГА  Лайф 1" г.Тверь, Петербургское ш., д. 95, офис 2,            ИНН 6952008580</t>
  </si>
  <si>
    <t>ООО "Региональная страховая компания "РИНКО""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</si>
  <si>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12</t>
  </si>
  <si>
    <t>Жилой дом 18-и этажный 510-квартир со встроенными помещениями общественного назначения, г.Тверь, райрон ст. Дорошиха, ул.Театралов и п.Черкассы, д. 14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</si>
  <si>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15</t>
  </si>
  <si>
    <t>ООО "Единство", г.Тверь, ул. Новоторжская, д. 22а, ИНН 6901091519</t>
  </si>
  <si>
    <t>г.Тверь, ул. Ротмистрова, д. 29А</t>
  </si>
  <si>
    <t xml:space="preserve">ООО «Дельта»
юрид: г. Тверь, наб. реки Лазури, 
д. 15, стр. 1, 170028;
факт: г. Тверь, 
ул. Озерная, 
д. 14, корп. 1; для отправки почты: г.Тверь, ул. Новоторжская, д. 18, корпус 1, офис 201 (тел. 33-09-03)
ИНН 6950020888
</t>
  </si>
  <si>
    <t xml:space="preserve">окончание - 2кв. 2018 </t>
  </si>
  <si>
    <t>окончание - 1 кв. 2021</t>
  </si>
  <si>
    <t>разрешение на строительство 69-ru69304000-176-2016 от 28.07.2016
срок действия до 31.01.2018</t>
  </si>
  <si>
    <t>ООО "ТИСК"
Тверская обл., 
г. Торжок, 
ул. Металлистов, д. 1-д, 
пом. 14 , 172003, тел. 8-926-167-74-68
ИНН 6915014433</t>
  </si>
  <si>
    <t>разрешение на ввод в эксплуатацию от 02.03.2017 № 69-ru69304000-7-2017</t>
  </si>
  <si>
    <t>№ 01 от 07.03.2017</t>
  </si>
  <si>
    <t>№ 69-08-30-2015 от 23.11.2015 сроком до 30.09.2016. Продлен до 30.11.2016</t>
  </si>
  <si>
    <t xml:space="preserve">разрешение на ввод в эксплуатацию № 69-508101-06-2016 от 03.11..2016 </t>
  </si>
  <si>
    <t>14.03.2017 вх. 3540</t>
  </si>
  <si>
    <t xml:space="preserve">начало - ноябрь 2016 года;
окончание -3 квартал 2017 года </t>
  </si>
  <si>
    <t>16.03.2017 вх. 3637</t>
  </si>
  <si>
    <t>разрешение на ввод в эксплуатацию № 69-ru69304000-58-2016 от 14.09.2016</t>
  </si>
  <si>
    <t>20.03.2017 вх. 3789</t>
  </si>
  <si>
    <t>20.03.2017 вх. 3854</t>
  </si>
  <si>
    <t>24.03.2017 вх. 4097</t>
  </si>
  <si>
    <t>02.03.2017 вх. 2903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</si>
  <si>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</si>
  <si>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</si>
  <si>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>3 кв. 2016;
4 кв. 2016;
1 кв. 2017</t>
  </si>
  <si>
    <t>3 кв. 2016;
4 кв. 2016;
3 кв. 2017</t>
  </si>
  <si>
    <t>20.03.2017 вх. 3862
(16.03.2017 - почтой)</t>
  </si>
  <si>
    <t>27.03.2017 вх.4127</t>
  </si>
  <si>
    <t>разрешение на строительство №69-RU69515318-208-2015 от 21.03.2015 сроком до 15.10.2017</t>
  </si>
  <si>
    <t>разрешение на строительство  № 69-RU69515318-218-2016  от 21.03.2016 г.  Сроком до 21.11.2017</t>
  </si>
  <si>
    <t>27.03.2017 вх. 4189</t>
  </si>
  <si>
    <t xml:space="preserve">12-этажный жилой дом   г. Тверь, ул. Псковская, д. 6 (1 этап) </t>
  </si>
  <si>
    <t>разрешение на строительство RU69304000-255-2016 от 06.12.2016 срок  действия до 31.12.2019</t>
  </si>
  <si>
    <t>28.03.2017 вх. 4260</t>
  </si>
  <si>
    <t>Многоквартирный 9-ти этажный жилой дом  в составе жилой застройки в районе ул. Громова,
г. Тверь, Рябеевское шоссе, 16</t>
  </si>
  <si>
    <t>28.03.2017 вх. 4210</t>
  </si>
  <si>
    <t>15.03.2017 вх. 3611</t>
  </si>
  <si>
    <t>27.03.2017 вх. 4156</t>
  </si>
  <si>
    <t>27.03.2017 вх. 4175</t>
  </si>
  <si>
    <t>27.03.2017 вх. 4155</t>
  </si>
  <si>
    <t>2 кв. 2019</t>
  </si>
  <si>
    <t>27.03.2017 вх. 4167</t>
  </si>
  <si>
    <t>27.03.2017 вх. 4168</t>
  </si>
  <si>
    <t>27.03.2017 вх. 4173</t>
  </si>
  <si>
    <t>29.03.2017 вх. 4348</t>
  </si>
  <si>
    <t xml:space="preserve">ООО «Регионстрой»
г. Тверь, ул. Благоева,
 д. 44, пом. 4, 170041; 
ИНН 6901065639
</t>
  </si>
  <si>
    <t>Многоквартирный 9-ти этажный жилой дом №2 в составе жилой застройки в районе ул. Громова,
г. Тверь, Рябеевское шоссе, 20 
(144 кв-ры)</t>
  </si>
  <si>
    <t>разрешение 
69-40-44-2016 от 03.03.2016</t>
  </si>
  <si>
    <t>начало -
 1 кв. 2016
 окончание- 1 кв. 2019</t>
  </si>
  <si>
    <t>12-этажный жилой дом   г. Тверь, ул. Псковская, д. 4,  3 позиция
(191 кв-ра)</t>
  </si>
  <si>
    <t>начало - 
4 кв. 2016 окончание 2 кв. 2018</t>
  </si>
  <si>
    <t>30.03.2017 вх. 4405</t>
  </si>
  <si>
    <t>№RU69330000-150 от 15.08.2013</t>
  </si>
  <si>
    <t>30.03.2017 вх. 4439</t>
  </si>
  <si>
    <t>30.03.2017 вх. 4440</t>
  </si>
  <si>
    <t>30.03.2017 вх. 4441</t>
  </si>
  <si>
    <t>№69510305-10-2016 от 15.12.2016</t>
  </si>
  <si>
    <t>29.03.2017 вх. 4386 (почта 31.01.2017)</t>
  </si>
  <si>
    <t>03.04.2017 вх. 4647</t>
  </si>
  <si>
    <t>29.03.2017 вх. 4370</t>
  </si>
  <si>
    <t>29.03.2017 вх. 4377</t>
  </si>
  <si>
    <t>ООО "Строительно-монтажное предприятие-69"
г. Тверь, ул. Богданова, д. 34, каб.. 7, 170040,
ИНН 6950040860</t>
  </si>
  <si>
    <t>29.03.2017 вх. 4379</t>
  </si>
  <si>
    <t>№69510305-9-2016 от 15.12.2016</t>
  </si>
  <si>
    <t>30.03.2017 вх. 4417</t>
  </si>
  <si>
    <t>разрешение на ввод в эксплуатацию №69-ru69304000-84-2016 от 16.12.2016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</si>
  <si>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</si>
  <si>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</si>
  <si>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 0039 от 28.03.2017</t>
  </si>
  <si>
    <t>30.03.2017 вх. 4423 (почта 28.03.2017)</t>
  </si>
  <si>
    <t>разрешение на строительство № 69-522000-027-2016 от 01.08.2016 до 01.02.2017</t>
  </si>
  <si>
    <t>10-ти этажный 2-х секционный жилой дом корпус 4, Черногубовское с/п, д. Батино, ул. Сергея Есенна</t>
  </si>
  <si>
    <t>№RU-69510316-08-2016 от 26.02.2016</t>
  </si>
  <si>
    <t>ООО "Региональная страховая компания "</t>
  </si>
  <si>
    <t>30.03.2017 вх. 4467</t>
  </si>
  <si>
    <t>Разрешение на ввод в эксплуатацию №69-510316-001-2016 от 23.12.2016</t>
  </si>
  <si>
    <t>не исполнено 51 ДДУ</t>
  </si>
  <si>
    <t>разрешение на ввод в эксплуатацию №69-08-05-2016 от 12.10.2016</t>
  </si>
  <si>
    <t>Тверская область, п. Солнечный, ул. Новая, д. 3</t>
  </si>
  <si>
    <t>ООО "Селигерстрой", г.Осташков, ул. Загородная, д. 50, ИНН 6913011780</t>
  </si>
  <si>
    <t>30.03.2017 вх. 4461</t>
  </si>
  <si>
    <t>30.03.2017 вх. 4458</t>
  </si>
  <si>
    <t>разрешение на ввод в эксплуатацию №69-ru69304000-93-2016 от 30.12.2016</t>
  </si>
  <si>
    <t>29.03.2017 вх. 4353</t>
  </si>
  <si>
    <t>№69-40-144-2015 от 29.06.2015 срок  действия до 31.12.2016</t>
  </si>
  <si>
    <t>№69-40-28-2016 от 12.02.2016 срок действия 14.03.2018</t>
  </si>
  <si>
    <t>31.03.2017 вх. 4622</t>
  </si>
  <si>
    <t>31.03.2017 вх. 4624</t>
  </si>
  <si>
    <t>30.03.2017 вх.4468, 4469</t>
  </si>
  <si>
    <t>31.03.2017 вх. 4477</t>
  </si>
  <si>
    <t>31.03.2017 вх. 4479</t>
  </si>
  <si>
    <t xml:space="preserve"> Разрешение на строительство №69-ru69304000-72-2016 от 22.11.2016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</si>
  <si>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- 116 кв-ры, 2 н.п.)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</si>
  <si>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</si>
  <si>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</si>
  <si>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>9314, 74</t>
  </si>
  <si>
    <t xml:space="preserve">ООО "Страховая инвестиционная компания"; 
</t>
  </si>
  <si>
    <t>30.03.2017 вх. 4456</t>
  </si>
  <si>
    <t>Разрешение на строительство №69-ru69304000-89-2016 от 29.12.2016</t>
  </si>
  <si>
    <t>в течение 3 мес. со дня ввода секции дома в эксплуатацию (31.03.2018)</t>
  </si>
  <si>
    <t>30.03.2017 вх. 4438</t>
  </si>
  <si>
    <t>разрешение на ввод в эксплуатацию №69-40-9-2016 от 26.02.2016</t>
  </si>
  <si>
    <t>30.03.2017 вх. 4447</t>
  </si>
  <si>
    <t>30.03.2017 вх.4452</t>
  </si>
  <si>
    <t xml:space="preserve">Разрешение на строительство №69-RU6930400-65-2016 от 06.10.2016 </t>
  </si>
  <si>
    <t>31.03.2017 вх. 4526</t>
  </si>
  <si>
    <t>разрешение на ввод в эксплуатацию №69-ru69304000-81-2016 от 13.12.2016</t>
  </si>
  <si>
    <t>31.03.2017 вх. 4527</t>
  </si>
  <si>
    <t>31.03.2017 вх. 4497</t>
  </si>
  <si>
    <t>Разрешение на ввод в эксплуатацию № 69-ru69304000-76-2016 от 02.12.2016</t>
  </si>
  <si>
    <t>разрешение на строительство RU 69320000-693 от 11.10.2014</t>
  </si>
  <si>
    <t>31.03.2017 вх. 4551</t>
  </si>
  <si>
    <t>Разрешение на ввод в эксплуатацию №69-ru69304000-68-2016 от 14.11.2016</t>
  </si>
  <si>
    <t>31.03.2017 вх. 4552</t>
  </si>
  <si>
    <t>Разрешение на ввод в эксплуютацию №69-ru69304000-77-2016</t>
  </si>
  <si>
    <t>Разрешение на ввод в эксплуютацию №69-ru69304000-78-2016 от 02.12.2016</t>
  </si>
  <si>
    <t>Разрешение на ввод в эксплуютацию №69-ru69304000-90-2016 от 29.12.2016</t>
  </si>
  <si>
    <t>Разрешение на ввод в эксплуютацию №69-ru69304000-91-2016 от 29.12.2016</t>
  </si>
  <si>
    <t>Жилой дом №7 (4-й этап):
17- этажный  
323-квартирный со встроенными помещениями общественного назначения, г. Тверь, 
ул. Склизкова</t>
  </si>
  <si>
    <t>Жилой дом №8 (5-й этап): 
17-этажный , 459-квартирный со встроенными помещениями общественного назначения, г. Тверь,
ул. Склизкова</t>
  </si>
  <si>
    <t>1 кв.2019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</si>
  <si>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11</t>
  </si>
  <si>
    <t>№69-ru69304000-224-2016 от 23.09.2016</t>
  </si>
  <si>
    <t>4 кв. 2023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</si>
  <si>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13</t>
  </si>
  <si>
    <t>№ 69-ru69304000-224-2016 от 23.09.2016</t>
  </si>
  <si>
    <t>разрешение на ввод в эксплуатацию №ru69304000-3-2017 от 06.02.2017</t>
  </si>
  <si>
    <t>разрешение на ввод в эксплуатацию  №69-ru69304000-4-2017 от 08.02.2017</t>
  </si>
  <si>
    <t>разрешение на ввод в эксплуатацию №69-ru69304000-8-2017 от 02.03.2017</t>
  </si>
  <si>
    <t xml:space="preserve">разрешение на ввод в эксплуатацию № 69-ru69304000-9-2017 от 15.03.2017 </t>
  </si>
  <si>
    <t>31.03.2017 вх. 4513</t>
  </si>
  <si>
    <t>31.03.2017 вх. 4485</t>
  </si>
  <si>
    <t>31.03.2017 вх. 4487</t>
  </si>
  <si>
    <t>31.03.2017 вх. 4501</t>
  </si>
  <si>
    <t>31.03.2017 вх. 4490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</si>
  <si>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</si>
  <si>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в течен 6 месяцев со дня полученя разрешения</t>
  </si>
  <si>
    <t>31.03.2017 вх. 4553</t>
  </si>
  <si>
    <t>Жилой дом №18, 192-квартир со встроинными помещениями общественного значения, 17 этажей. г. Тверь, ст. Дорошиха, ул. Театралов и п.Черкассы</t>
  </si>
  <si>
    <t>№69-ru69304000-260-2016 от 07.12.2016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</si>
  <si>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</si>
  <si>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</si>
  <si>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Жилой дом №16, 576-квартир со встроинными помещениями общественного значения, 17 этажей. г. Тверь, ст. Дорошиха, ул. Театралов и п.Черкассы</t>
  </si>
  <si>
    <t>Жилой дом №17, 320-квартир со встроинными помещениями общественного значения, 17 этажей. г. Тверь, ст. Дорошиха, ул. Театралов и п.Черкассы</t>
  </si>
  <si>
    <t>31.03.2017 вх. 4540</t>
  </si>
  <si>
    <t>разрешение на строительство №69-40-167-2015 от 24.07.2015 срок действия до 07.10.2016</t>
  </si>
  <si>
    <t>31.03.2017 вх. 4533</t>
  </si>
  <si>
    <t>2кв. 2018</t>
  </si>
  <si>
    <t>31.03.2017 вх. 4531</t>
  </si>
  <si>
    <t>31.03.2017 вх.4515</t>
  </si>
  <si>
    <t>31.03.2017 вх. 4525</t>
  </si>
  <si>
    <t>12.04.2017 вх. 5352 (почта 22.03.2017)</t>
  </si>
  <si>
    <t>12.04.2017 вх. 5351 (почта 27.03.2017)</t>
  </si>
  <si>
    <t>04.04.2017 вх. 4762 (почтой 30.03.2017), 12.04.2017 вх.5356 (почтой 30.03.2017)</t>
  </si>
  <si>
    <t>12.04.2017 вх. 5358 (почта 31.03.2017)</t>
  </si>
  <si>
    <t>Жилой дом №5: 
17- этажный 
224 -квартирный со встроенными помещениями общественного назначения, г. Тверь, 
ул. Склизкова</t>
  </si>
  <si>
    <t xml:space="preserve">ООО "Региональная страховая компания";
ООО "ПРОМИНСТРАХ"   </t>
  </si>
  <si>
    <t>12.04.2017 вх. 5357 (почта 31.03.2017)</t>
  </si>
  <si>
    <t>12.04.2017 вх. 5355(почта 31.03.2017)</t>
  </si>
  <si>
    <t>12.04.2017 вх. 5354 (почта 31.03.2017)</t>
  </si>
  <si>
    <t>12.04.2017 вх. 5353 (почта 31.03.2017)</t>
  </si>
  <si>
    <t>12.04.2017 вх. 5350 ) почта 29.03.2017)</t>
  </si>
  <si>
    <t>48-квартирный 4-этажный жилой дом с помещениями для хранения личного имущества (14 н.п.) 
Тверская обл., г. Торжок, ул. Металлистов, д. 1-г</t>
  </si>
  <si>
    <t>разрешение на ввод в эксплуатацию №69-305-15-2016 от 27.10.2016</t>
  </si>
  <si>
    <t>19.04.2017 вх.5870 (почта 28.03.2017)</t>
  </si>
  <si>
    <t>19.04.2017 вх. 5871 (почта 30.03.2017)</t>
  </si>
  <si>
    <t>31.03.2017 вх. 4550</t>
  </si>
  <si>
    <t xml:space="preserve">187-квартирный жилой дом №1 со встроенными помещениями общественного назначения  12 этажей, 
г. Тверь, ул. Планерная
</t>
  </si>
  <si>
    <t>4 кв,. 2017</t>
  </si>
  <si>
    <t>31.03.2017 вх. 4506</t>
  </si>
  <si>
    <t>2 полугодие 2017</t>
  </si>
  <si>
    <t xml:space="preserve">30.03.2017 вх. 4432 </t>
  </si>
  <si>
    <t>начало - 
4 кв. 2016 окончание -
2 кв. 2018</t>
  </si>
  <si>
    <t>30.03.2017 вх. 4435</t>
  </si>
  <si>
    <t>30.03.2017 вх. 4433</t>
  </si>
  <si>
    <t>2-х этажный 
10 квартирный жилой дом, Тверская обл., Калининский р-н, Никулинское с/п, 
д. Кривцово, ул. Летняя,
д. 18</t>
  </si>
  <si>
    <t>№69-510312-137-2016 от 06.06.2017</t>
  </si>
  <si>
    <t>31.03.2017 вх. 4495</t>
  </si>
  <si>
    <t xml:space="preserve">12-этажный дом г. Тверь, ул. Псковская, д. 12 </t>
  </si>
  <si>
    <t xml:space="preserve">RU 69320000-681 от 24.10.2014
срок действия до 30.04.2016, продлено до 31.03.2017;
до 30.09.2018 </t>
  </si>
  <si>
    <t>4 кв. 2016;
30.04.2017
30.09.2017</t>
  </si>
  <si>
    <t>31.12.2013
31.12.2014
01.05.2015
31.12.2015
31.12.2016
31.12.2017</t>
  </si>
  <si>
    <t xml:space="preserve">начало - 
3 кв. 2016
 окончание- 4 кв. 2017
</t>
  </si>
  <si>
    <t xml:space="preserve">начало -
2 кв. 2016 
 окончание- 2 кв. 2017
</t>
  </si>
  <si>
    <t>Блокированный жилой дом, состоящий из десяти жилых помещений
Тверская обл., Калининский р-н, Никулинское с/п, д. Кривцово, ул. Летняя, 
д.  5</t>
  </si>
  <si>
    <t>Блокированный жилой дом, состоящий из десяти жилых помещений
Тверская обл., Калининский р-н, Никулинское с/п, д. Кривцово, ул. Летняя, 
д.  16</t>
  </si>
  <si>
    <t xml:space="preserve">начало -
3 кв. 2016 
 окончание- 2 кв. 2017
</t>
  </si>
  <si>
    <t>Блокированный жилой дом, состоящий из двух блоков
Тверская обл., Калининский р-н, Никулинское с/п, д. Кривцово, ул. Удачная, 
д.  9</t>
  </si>
  <si>
    <t>разрешение на строительство 69-510312-098-2016 от 27.07.2016
срок действия до 27.07.2017</t>
  </si>
  <si>
    <t>разрешение на строительство 69-510312-138-2016 от 19.09.2016
срок действия до 19.07.2017</t>
  </si>
  <si>
    <t>Многоквартирный жилой дом, Тверская обл., Калининский р-н, Никулинское с/п,
 д. Кривцово, ул. Уютная, 
д. 2</t>
  </si>
  <si>
    <t>№ 69-510312-167-2016 от 03.11.2016
срок действия 
до 03.09.2017</t>
  </si>
  <si>
    <t xml:space="preserve">ООО "Региональная страховая компания";
ООО "Страховая компания "РЕСПЕКТ"
</t>
  </si>
  <si>
    <t>начало -
 3 кв. 2016, окончание - 1 кв. 2017</t>
  </si>
  <si>
    <t>начало - 
2 кв. 2015
 окончание- 3 кв. 2016</t>
  </si>
  <si>
    <t>разрешение на ввод в эксплуатацию №69-ru69304000-85-2016 от 23.12.2016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</si>
  <si>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4 блок-секц., 54 кв-р, 3 н.п., 8 м/м)
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</si>
  <si>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6 блок-секц., 70 кв-р, 5 н.п., 7 м/м)
</t>
  </si>
  <si>
    <t>ООО "Объединенные строители", г. Тверь, Свободный пер., д.9, офис 69, каб. №8, 
ИНН 6950199459</t>
  </si>
  <si>
    <t>начало -
4 кв. 2016, окончание- 4 кв. 2017</t>
  </si>
  <si>
    <t>разрешение на строительство 69-ru69304000-252-2016 от 05.12.2016 сроком до 31.08.2021</t>
  </si>
  <si>
    <t>начало -
4 кв. 2016
окончание -  3 кв. 2018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</si>
  <si>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 
(90 кв-р; трансф. подстанция; котельная)</t>
  </si>
  <si>
    <t>ООО "Тверьжилстрой", 
г. Тверь, пр-кт Чайковского, 
д. 19А, оф. 601, 
ИНН 6950192615</t>
  </si>
  <si>
    <t>12-ти этажный жилой дом в 3-ем квартале застройки по ул. Псковская в г. Твери, по адресу г. Тверь, бульвар Гусева, д. 66 (1 этап строительства, 1-2 секции) (95 кв-р, трансформаторная подстанция)</t>
  </si>
  <si>
    <t>№69-40-96-2016 от 27.04.2016, срок действия до 28.02.2020</t>
  </si>
  <si>
    <t>разрешение на строительство RU 69330000-537 от 16.06.2014, 
срок действия до 30.04.2015;
продлено до 
16.12.2016;
16.12.2017</t>
  </si>
  <si>
    <t>начало -  16.06.2014 окончание - 3 кв. 2016</t>
  </si>
  <si>
    <t>ООО "ТверьДомСтрой" 
 г. Тверь, 
ул. Мусоргского, д. 12, 170026 
ИНН 6950175070</t>
  </si>
  <si>
    <t>10-ти квартирный блокированный жилой дом (3- этажа),
г.Тверь, ул. Большая Тверская, д. 48</t>
  </si>
  <si>
    <t>начало -
2 кв. 2016, окончание - 2 кв. 2017</t>
  </si>
  <si>
    <t>ООО "Региональная страховая компания";
ООО "Страховая компания "РЕСПЕКТ"</t>
  </si>
  <si>
    <t>10-ти квартирный блокированный жилой дом (3- этажа), 
г.Тверь, ул. Ломоносова, д. 68</t>
  </si>
  <si>
    <t>начало -
4 кв. 2016, окончание - 3 кв. 2017</t>
  </si>
  <si>
    <t>в течение 90 дней  после ввода в эксплуатацию (1 кв. 2018)</t>
  </si>
  <si>
    <t>разрешение на ввод в эксплуатацию № 69-ru69304000-95-2016 от 30.12.2016</t>
  </si>
  <si>
    <t>разрешение на ввод в эксплуатацию № 69-ru6904000-12-2017 от 28.03.2017</t>
  </si>
  <si>
    <t>ООО "Жилфинанспроект"
г. Тверь, ул. Красные Горки, д. 32, 170100, ИНН 6950170435</t>
  </si>
  <si>
    <t>6-8 этажный жилой дом с подвалом  с насосной и дворовой территорией    г. Тверь, ул. М.Румянцева, д. 7 (128 кв-р)</t>
  </si>
  <si>
    <t>разрешение на строительство 69-ru69304000-219-2016 от 12.09.2016
срок действия до 28.02.2018</t>
  </si>
  <si>
    <t>Жилой дом №1 со встроенными помещениями общественного назначения, г. Тверь, 
ул. Фрунзе
(507 кв-р)</t>
  </si>
  <si>
    <t xml:space="preserve"> начало -  2 кв. 2016, окончание 2 кв. 2021</t>
  </si>
  <si>
    <t>7-ми секционный  3-этажный жилой дом, г.Тверь (2 этап), ул. Вологодская, Мирная и Новая</t>
  </si>
  <si>
    <t>31.03.2017 вх. 4536</t>
  </si>
  <si>
    <t>ООО "Строй-Мода",
Тверская обл., г. Ржев, Осташковское шоссе,
д. 1А, 172389;
ИНН 6914013268</t>
  </si>
  <si>
    <t xml:space="preserve">Адрес местонахождения строящегося объекта </t>
  </si>
  <si>
    <t xml:space="preserve">кол-во (всего) </t>
  </si>
  <si>
    <t xml:space="preserve">сумма обязательств (млн. руб.) </t>
  </si>
  <si>
    <t xml:space="preserve">Объем привлеченных средств по ДДУ за год </t>
  </si>
  <si>
    <t xml:space="preserve">Дата заключения первого  ДДУ </t>
  </si>
  <si>
    <t xml:space="preserve">Сроки передачи объекта согласно ДДУ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</si>
</sst>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0.000"/>
    <numFmt numFmtId="167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3" borderId="0" xfId="0" applyFill="1"/>
    <xf numFmtId="0" fontId="0" fillId="0" borderId="0" xfId="0" applyFont="1"/>
    <xf numFmtId="164" fontId="0" fillId="0" borderId="0" xfId="1" applyFont="1"/>
    <xf numFmtId="9" fontId="2" fillId="2" borderId="1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1"/>
  <sheetViews>
    <sheetView tabSelected="1" zoomScale="75" zoomScaleNormal="75" workbookViewId="0">
      <pane xSplit="3" ySplit="3" topLeftCell="D4" activePane="bottomRight" state="frozen"/>
      <selection pane="topRight" activeCell="F1" sqref="F1"/>
      <selection pane="bottomLeft" activeCell="A4" sqref="A4"/>
      <selection pane="bottomRight" activeCell="B4" sqref="B4:B8"/>
    </sheetView>
  </sheetViews>
  <sheetFormatPr defaultRowHeight="15" x14ac:dyDescent="0.25"/>
  <cols>
    <col min="1" max="1" width="4.7109375" style="5" customWidth="1"/>
    <col min="2" max="2" width="32.42578125" style="5" customWidth="1"/>
    <col min="3" max="3" width="22.42578125" style="5" customWidth="1"/>
    <col min="4" max="4" width="24.28515625" style="3" customWidth="1"/>
    <col min="5" max="5" width="14" style="3" customWidth="1"/>
    <col min="6" max="6" width="10.140625" style="3" customWidth="1"/>
    <col min="7" max="8" width="9.140625" style="3"/>
    <col min="9" max="9" width="9.140625" style="3" customWidth="1"/>
    <col min="10" max="10" width="11.5703125" style="3" customWidth="1"/>
    <col min="11" max="12" width="15.140625" style="4" customWidth="1"/>
    <col min="13" max="13" width="11.42578125" style="4" customWidth="1"/>
    <col min="14" max="14" width="11.140625" style="3" customWidth="1"/>
    <col min="15" max="15" width="15.7109375" style="3" customWidth="1"/>
    <col min="16" max="16" width="13.42578125" style="3" customWidth="1"/>
    <col min="17" max="17" width="15.28515625" style="4" customWidth="1"/>
    <col min="18" max="19" width="15.42578125" style="3" customWidth="1"/>
    <col min="20" max="20" width="15.5703125" style="3" customWidth="1"/>
    <col min="21" max="21" width="16.42578125" style="3" customWidth="1"/>
    <col min="22" max="16384" width="9.140625" style="3"/>
  </cols>
  <sheetData>
    <row r="1" spans="1:21" x14ac:dyDescent="0.25">
      <c r="A1" s="61" t="s">
        <v>849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1:21" ht="15" customHeight="1" x14ac:dyDescent="0.25">
      <c r="A2" s="58" t="s">
        <v>8</v>
      </c>
      <c r="B2" s="57" t="s">
        <v>0</v>
      </c>
      <c r="C2" s="58" t="s">
        <v>848</v>
      </c>
      <c r="D2" s="57" t="s">
        <v>1082</v>
      </c>
      <c r="E2" s="62" t="s">
        <v>4</v>
      </c>
      <c r="F2" s="62"/>
      <c r="G2" s="63" t="s">
        <v>5</v>
      </c>
      <c r="H2" s="64"/>
      <c r="I2" s="64"/>
      <c r="J2" s="65"/>
      <c r="K2" s="58" t="s">
        <v>1085</v>
      </c>
      <c r="L2" s="58" t="s">
        <v>23</v>
      </c>
      <c r="M2" s="60" t="s">
        <v>6</v>
      </c>
      <c r="N2" s="60"/>
      <c r="O2" s="58" t="s">
        <v>1086</v>
      </c>
      <c r="P2" s="41"/>
      <c r="Q2" s="58" t="s">
        <v>16</v>
      </c>
      <c r="R2" s="57" t="s">
        <v>7</v>
      </c>
      <c r="S2" s="58" t="s">
        <v>533</v>
      </c>
      <c r="T2" s="57" t="s">
        <v>790</v>
      </c>
      <c r="U2" s="39"/>
    </row>
    <row r="3" spans="1:21" s="8" customFormat="1" ht="171" x14ac:dyDescent="0.25">
      <c r="A3" s="59"/>
      <c r="B3" s="57"/>
      <c r="C3" s="59"/>
      <c r="D3" s="57"/>
      <c r="E3" s="38" t="s">
        <v>90</v>
      </c>
      <c r="F3" s="7" t="s">
        <v>1</v>
      </c>
      <c r="G3" s="38" t="s">
        <v>1083</v>
      </c>
      <c r="H3" s="38" t="s">
        <v>18</v>
      </c>
      <c r="I3" s="38" t="s">
        <v>1084</v>
      </c>
      <c r="J3" s="38" t="s">
        <v>97</v>
      </c>
      <c r="K3" s="59"/>
      <c r="L3" s="59"/>
      <c r="M3" s="38" t="s">
        <v>3</v>
      </c>
      <c r="N3" s="38" t="s">
        <v>2</v>
      </c>
      <c r="O3" s="59"/>
      <c r="P3" s="42" t="s">
        <v>1087</v>
      </c>
      <c r="Q3" s="59"/>
      <c r="R3" s="57"/>
      <c r="S3" s="59"/>
      <c r="T3" s="57"/>
      <c r="U3" s="38" t="s">
        <v>846</v>
      </c>
    </row>
    <row r="4" spans="1:21" s="5" customFormat="1" ht="135" customHeight="1" x14ac:dyDescent="0.25">
      <c r="A4" s="47">
        <v>1</v>
      </c>
      <c r="B4" s="47" t="s">
        <v>385</v>
      </c>
      <c r="C4" s="47" t="s">
        <v>962</v>
      </c>
      <c r="D4" s="43" t="s">
        <v>127</v>
      </c>
      <c r="E4" s="47" t="s">
        <v>42</v>
      </c>
      <c r="F4" s="47" t="s">
        <v>43</v>
      </c>
      <c r="G4" s="43">
        <v>2</v>
      </c>
      <c r="H4" s="43" t="s">
        <v>26</v>
      </c>
      <c r="I4" s="43">
        <v>4</v>
      </c>
      <c r="J4" s="66" t="s">
        <v>26</v>
      </c>
      <c r="K4" s="47">
        <f>16+22+38+42</f>
        <v>118</v>
      </c>
      <c r="L4" s="36" t="s">
        <v>711</v>
      </c>
      <c r="M4" s="34" t="s">
        <v>125</v>
      </c>
      <c r="N4" s="43" t="s">
        <v>714</v>
      </c>
      <c r="O4" s="67">
        <v>42633</v>
      </c>
      <c r="P4" s="67" t="s">
        <v>714</v>
      </c>
      <c r="Q4" s="43" t="s">
        <v>26</v>
      </c>
      <c r="R4" s="43" t="s">
        <v>26</v>
      </c>
      <c r="S4" s="43"/>
      <c r="T4" s="43"/>
      <c r="U4" s="34"/>
    </row>
    <row r="5" spans="1:21" s="5" customFormat="1" ht="135" x14ac:dyDescent="0.25">
      <c r="A5" s="48"/>
      <c r="B5" s="48"/>
      <c r="C5" s="48"/>
      <c r="D5" s="43" t="s">
        <v>129</v>
      </c>
      <c r="E5" s="48"/>
      <c r="F5" s="48"/>
      <c r="G5" s="43">
        <v>111</v>
      </c>
      <c r="H5" s="43" t="s">
        <v>26</v>
      </c>
      <c r="I5" s="43">
        <v>235</v>
      </c>
      <c r="J5" s="66" t="s">
        <v>26</v>
      </c>
      <c r="K5" s="48"/>
      <c r="L5" s="36" t="s">
        <v>711</v>
      </c>
      <c r="M5" s="34" t="s">
        <v>124</v>
      </c>
      <c r="N5" s="68"/>
      <c r="O5" s="67">
        <v>42129</v>
      </c>
      <c r="P5" s="67" t="s">
        <v>14</v>
      </c>
      <c r="Q5" s="43" t="s">
        <v>26</v>
      </c>
      <c r="R5" s="17">
        <v>1</v>
      </c>
      <c r="S5" s="38"/>
      <c r="T5" s="34" t="s">
        <v>559</v>
      </c>
      <c r="U5" s="35"/>
    </row>
    <row r="6" spans="1:21" s="5" customFormat="1" ht="135" x14ac:dyDescent="0.25">
      <c r="A6" s="48"/>
      <c r="B6" s="48"/>
      <c r="C6" s="48"/>
      <c r="D6" s="43" t="s">
        <v>128</v>
      </c>
      <c r="E6" s="48"/>
      <c r="F6" s="48"/>
      <c r="G6" s="43">
        <v>0</v>
      </c>
      <c r="H6" s="43">
        <v>0</v>
      </c>
      <c r="I6" s="43">
        <v>0</v>
      </c>
      <c r="J6" s="66">
        <v>0</v>
      </c>
      <c r="K6" s="48"/>
      <c r="L6" s="36" t="s">
        <v>711</v>
      </c>
      <c r="M6" s="34" t="s">
        <v>122</v>
      </c>
      <c r="N6" s="43" t="s">
        <v>712</v>
      </c>
      <c r="O6" s="67">
        <v>42172</v>
      </c>
      <c r="P6" s="67" t="s">
        <v>806</v>
      </c>
      <c r="Q6" s="43" t="s">
        <v>26</v>
      </c>
      <c r="R6" s="43" t="s">
        <v>26</v>
      </c>
      <c r="S6" s="38"/>
      <c r="T6" s="38"/>
      <c r="U6" s="38"/>
    </row>
    <row r="7" spans="1:21" s="5" customFormat="1" ht="135" x14ac:dyDescent="0.25">
      <c r="A7" s="48"/>
      <c r="B7" s="48"/>
      <c r="C7" s="48"/>
      <c r="D7" s="43" t="s">
        <v>130</v>
      </c>
      <c r="E7" s="49"/>
      <c r="F7" s="49"/>
      <c r="G7" s="43">
        <v>113</v>
      </c>
      <c r="H7" s="43" t="s">
        <v>26</v>
      </c>
      <c r="I7" s="43">
        <v>218</v>
      </c>
      <c r="J7" s="66" t="s">
        <v>26</v>
      </c>
      <c r="K7" s="48"/>
      <c r="L7" s="36" t="s">
        <v>711</v>
      </c>
      <c r="M7" s="34" t="s">
        <v>123</v>
      </c>
      <c r="N7" s="43" t="s">
        <v>713</v>
      </c>
      <c r="O7" s="67">
        <v>42198</v>
      </c>
      <c r="P7" s="67" t="s">
        <v>713</v>
      </c>
      <c r="Q7" s="43" t="s">
        <v>26</v>
      </c>
      <c r="R7" s="43" t="s">
        <v>26</v>
      </c>
      <c r="S7" s="43" t="s">
        <v>567</v>
      </c>
      <c r="T7" s="36" t="s">
        <v>963</v>
      </c>
      <c r="U7" s="35"/>
    </row>
    <row r="8" spans="1:21" s="5" customFormat="1" ht="75" x14ac:dyDescent="0.25">
      <c r="A8" s="48"/>
      <c r="B8" s="49"/>
      <c r="C8" s="49"/>
      <c r="D8" s="43" t="s">
        <v>715</v>
      </c>
      <c r="E8" s="43">
        <f>3478.2+2847.9</f>
        <v>6326.1</v>
      </c>
      <c r="F8" s="10"/>
      <c r="G8" s="43">
        <v>0</v>
      </c>
      <c r="H8" s="43">
        <v>0</v>
      </c>
      <c r="I8" s="43">
        <v>0</v>
      </c>
      <c r="J8" s="66">
        <v>0</v>
      </c>
      <c r="K8" s="49"/>
      <c r="L8" s="36" t="s">
        <v>716</v>
      </c>
      <c r="M8" s="34" t="s">
        <v>717</v>
      </c>
      <c r="N8" s="43" t="s">
        <v>718</v>
      </c>
      <c r="O8" s="67">
        <v>42537</v>
      </c>
      <c r="P8" s="67" t="s">
        <v>718</v>
      </c>
      <c r="Q8" s="43" t="s">
        <v>26</v>
      </c>
      <c r="R8" s="43" t="s">
        <v>26</v>
      </c>
      <c r="S8" s="43"/>
      <c r="T8" s="43"/>
      <c r="U8" s="35"/>
    </row>
    <row r="9" spans="1:21" s="5" customFormat="1" ht="105" x14ac:dyDescent="0.25">
      <c r="A9" s="43">
        <v>2</v>
      </c>
      <c r="B9" s="36" t="s">
        <v>337</v>
      </c>
      <c r="C9" s="36" t="s">
        <v>901</v>
      </c>
      <c r="D9" s="43" t="s">
        <v>411</v>
      </c>
      <c r="E9" s="43">
        <v>6363</v>
      </c>
      <c r="F9" s="43">
        <f>2408.2+644+586.7+1061.5</f>
        <v>4700.3999999999996</v>
      </c>
      <c r="G9" s="43">
        <v>82</v>
      </c>
      <c r="H9" s="43">
        <v>73</v>
      </c>
      <c r="I9" s="43">
        <v>278</v>
      </c>
      <c r="J9" s="43">
        <v>200.9</v>
      </c>
      <c r="K9" s="43">
        <f>55+34+45+48</f>
        <v>182</v>
      </c>
      <c r="L9" s="43" t="s">
        <v>194</v>
      </c>
      <c r="M9" s="43" t="s">
        <v>98</v>
      </c>
      <c r="N9" s="43"/>
      <c r="O9" s="2">
        <v>42146</v>
      </c>
      <c r="P9" s="2" t="s">
        <v>718</v>
      </c>
      <c r="Q9" s="43"/>
      <c r="R9" s="17">
        <v>0.08</v>
      </c>
      <c r="S9" s="43"/>
      <c r="T9" s="43"/>
      <c r="U9" s="30"/>
    </row>
    <row r="10" spans="1:21" s="5" customFormat="1" ht="90" customHeight="1" x14ac:dyDescent="0.25">
      <c r="A10" s="47">
        <v>3</v>
      </c>
      <c r="B10" s="47" t="s">
        <v>397</v>
      </c>
      <c r="C10" s="47" t="s">
        <v>954</v>
      </c>
      <c r="D10" s="43" t="s">
        <v>72</v>
      </c>
      <c r="E10" s="43">
        <v>2411</v>
      </c>
      <c r="F10" s="43">
        <v>2100</v>
      </c>
      <c r="G10" s="43">
        <v>35</v>
      </c>
      <c r="H10" s="43">
        <v>27</v>
      </c>
      <c r="I10" s="69">
        <v>129</v>
      </c>
      <c r="J10" s="43">
        <v>104.53</v>
      </c>
      <c r="K10" s="47">
        <f>14+18+23+24</f>
        <v>79</v>
      </c>
      <c r="L10" s="43" t="s">
        <v>73</v>
      </c>
      <c r="M10" s="43" t="s">
        <v>109</v>
      </c>
      <c r="N10" s="2">
        <v>42643</v>
      </c>
      <c r="O10" s="2">
        <v>42026</v>
      </c>
      <c r="P10" s="2">
        <v>42643</v>
      </c>
      <c r="Q10" s="43"/>
      <c r="R10" s="43" t="s">
        <v>26</v>
      </c>
      <c r="S10" s="43"/>
      <c r="T10" s="43" t="s">
        <v>955</v>
      </c>
      <c r="U10" s="34"/>
    </row>
    <row r="11" spans="1:21" s="5" customFormat="1" ht="135" x14ac:dyDescent="0.25">
      <c r="A11" s="49"/>
      <c r="B11" s="49"/>
      <c r="C11" s="49"/>
      <c r="D11" s="43" t="s">
        <v>668</v>
      </c>
      <c r="E11" s="43">
        <f>5183.48+5183.48</f>
        <v>10366.959999999999</v>
      </c>
      <c r="F11" s="43"/>
      <c r="G11" s="43">
        <v>18</v>
      </c>
      <c r="H11" s="43">
        <v>15</v>
      </c>
      <c r="I11" s="71">
        <v>65</v>
      </c>
      <c r="J11" s="43">
        <v>56.23</v>
      </c>
      <c r="K11" s="49"/>
      <c r="L11" s="43" t="s">
        <v>182</v>
      </c>
      <c r="M11" s="43" t="s">
        <v>183</v>
      </c>
      <c r="N11" s="2">
        <v>43190</v>
      </c>
      <c r="O11" s="2">
        <v>42332</v>
      </c>
      <c r="P11" s="2" t="s">
        <v>956</v>
      </c>
      <c r="Q11" s="43" t="s">
        <v>181</v>
      </c>
      <c r="R11" s="43" t="s">
        <v>26</v>
      </c>
      <c r="S11" s="43"/>
      <c r="T11" s="43"/>
      <c r="U11" s="43"/>
    </row>
    <row r="12" spans="1:21" s="5" customFormat="1" ht="105" x14ac:dyDescent="0.25">
      <c r="A12" s="47">
        <v>4</v>
      </c>
      <c r="B12" s="47" t="s">
        <v>374</v>
      </c>
      <c r="C12" s="47"/>
      <c r="D12" s="34" t="s">
        <v>375</v>
      </c>
      <c r="E12" s="43">
        <f>845.26+845.26+751.2+751.2</f>
        <v>3192.92</v>
      </c>
      <c r="F12" s="43">
        <v>0</v>
      </c>
      <c r="G12" s="43">
        <v>5</v>
      </c>
      <c r="H12" s="43">
        <v>4</v>
      </c>
      <c r="I12" s="43">
        <v>13.518000000000001</v>
      </c>
      <c r="J12" s="43">
        <v>11.414999999999999</v>
      </c>
      <c r="K12" s="47">
        <f>0+0</f>
        <v>0</v>
      </c>
      <c r="L12" s="43" t="s">
        <v>63</v>
      </c>
      <c r="M12" s="34" t="s">
        <v>466</v>
      </c>
      <c r="N12" s="72" t="s">
        <v>467</v>
      </c>
      <c r="O12" s="9">
        <v>41089</v>
      </c>
      <c r="P12" s="9">
        <v>42825</v>
      </c>
      <c r="Q12" s="9" t="s">
        <v>29</v>
      </c>
      <c r="R12" s="34" t="s">
        <v>26</v>
      </c>
      <c r="S12" s="34"/>
      <c r="T12" s="34"/>
      <c r="U12" s="43"/>
    </row>
    <row r="13" spans="1:21" s="5" customFormat="1" ht="105" x14ac:dyDescent="0.25">
      <c r="A13" s="49"/>
      <c r="B13" s="49"/>
      <c r="C13" s="49"/>
      <c r="D13" s="34" t="s">
        <v>468</v>
      </c>
      <c r="E13" s="43">
        <v>3144.8</v>
      </c>
      <c r="F13" s="43">
        <v>0</v>
      </c>
      <c r="G13" s="43">
        <v>1</v>
      </c>
      <c r="H13" s="43">
        <v>0</v>
      </c>
      <c r="I13" s="43">
        <v>9.1319999999999997</v>
      </c>
      <c r="J13" s="43">
        <v>0</v>
      </c>
      <c r="K13" s="49"/>
      <c r="L13" s="43" t="s">
        <v>110</v>
      </c>
      <c r="M13" s="34" t="s">
        <v>376</v>
      </c>
      <c r="N13" s="9">
        <v>42460</v>
      </c>
      <c r="O13" s="9">
        <v>41627</v>
      </c>
      <c r="P13" s="9" t="s">
        <v>789</v>
      </c>
      <c r="Q13" s="9" t="s">
        <v>26</v>
      </c>
      <c r="R13" s="34" t="s">
        <v>26</v>
      </c>
      <c r="S13" s="34"/>
      <c r="T13" s="34"/>
      <c r="U13" s="43"/>
    </row>
    <row r="14" spans="1:21" s="5" customFormat="1" ht="120" customHeight="1" x14ac:dyDescent="0.25">
      <c r="A14" s="47">
        <v>5</v>
      </c>
      <c r="B14" s="47" t="s">
        <v>902</v>
      </c>
      <c r="C14" s="70" t="s">
        <v>890</v>
      </c>
      <c r="D14" s="43" t="s">
        <v>903</v>
      </c>
      <c r="E14" s="43">
        <v>8040.69</v>
      </c>
      <c r="F14" s="43">
        <v>2471</v>
      </c>
      <c r="G14" s="43">
        <v>7</v>
      </c>
      <c r="H14" s="43" t="s">
        <v>26</v>
      </c>
      <c r="I14" s="43">
        <v>13</v>
      </c>
      <c r="J14" s="43" t="s">
        <v>26</v>
      </c>
      <c r="K14" s="47">
        <f>6+35+11+4</f>
        <v>56</v>
      </c>
      <c r="L14" s="43" t="s">
        <v>103</v>
      </c>
      <c r="M14" s="43" t="s">
        <v>186</v>
      </c>
      <c r="N14" s="43"/>
      <c r="O14" s="2">
        <v>42429</v>
      </c>
      <c r="P14" s="2" t="s">
        <v>703</v>
      </c>
      <c r="Q14" s="43" t="s">
        <v>26</v>
      </c>
      <c r="R14" s="34" t="s">
        <v>26</v>
      </c>
      <c r="S14" s="34"/>
      <c r="T14" s="43"/>
      <c r="U14" s="28"/>
    </row>
    <row r="15" spans="1:21" s="5" customFormat="1" ht="105" x14ac:dyDescent="0.25">
      <c r="A15" s="48"/>
      <c r="B15" s="48"/>
      <c r="C15" s="48"/>
      <c r="D15" s="43" t="s">
        <v>663</v>
      </c>
      <c r="E15" s="43" t="s">
        <v>664</v>
      </c>
      <c r="F15" s="43">
        <v>0</v>
      </c>
      <c r="G15" s="43">
        <v>33</v>
      </c>
      <c r="H15" s="43" t="s">
        <v>26</v>
      </c>
      <c r="I15" s="43">
        <v>82</v>
      </c>
      <c r="J15" s="43" t="s">
        <v>26</v>
      </c>
      <c r="K15" s="48"/>
      <c r="L15" s="43" t="s">
        <v>102</v>
      </c>
      <c r="M15" s="43" t="s">
        <v>185</v>
      </c>
      <c r="N15" s="43"/>
      <c r="O15" s="2">
        <v>41928</v>
      </c>
      <c r="P15" s="2" t="s">
        <v>204</v>
      </c>
      <c r="Q15" s="43" t="s">
        <v>26</v>
      </c>
      <c r="R15" s="34" t="s">
        <v>26</v>
      </c>
      <c r="S15" s="34"/>
      <c r="T15" s="43" t="s">
        <v>561</v>
      </c>
      <c r="U15" s="43" t="s">
        <v>815</v>
      </c>
    </row>
    <row r="16" spans="1:21" s="5" customFormat="1" ht="90" x14ac:dyDescent="0.25">
      <c r="A16" s="49"/>
      <c r="B16" s="49"/>
      <c r="C16" s="49"/>
      <c r="D16" s="43" t="s">
        <v>891</v>
      </c>
      <c r="E16" s="43">
        <v>7297.17</v>
      </c>
      <c r="F16" s="43">
        <v>532.55999999999995</v>
      </c>
      <c r="G16" s="43">
        <v>1</v>
      </c>
      <c r="H16" s="43" t="s">
        <v>26</v>
      </c>
      <c r="I16" s="43">
        <v>2</v>
      </c>
      <c r="J16" s="43" t="s">
        <v>26</v>
      </c>
      <c r="K16" s="49"/>
      <c r="L16" s="43" t="s">
        <v>904</v>
      </c>
      <c r="M16" s="43" t="s">
        <v>905</v>
      </c>
      <c r="N16" s="43"/>
      <c r="O16" s="2">
        <v>42718</v>
      </c>
      <c r="P16" s="2" t="s">
        <v>813</v>
      </c>
      <c r="Q16" s="43" t="s">
        <v>93</v>
      </c>
      <c r="R16" s="34" t="s">
        <v>26</v>
      </c>
      <c r="S16" s="34"/>
      <c r="T16" s="43"/>
      <c r="U16" s="30"/>
    </row>
    <row r="17" spans="1:21" s="5" customFormat="1" ht="270" x14ac:dyDescent="0.25">
      <c r="A17" s="50">
        <v>6</v>
      </c>
      <c r="B17" s="50" t="s">
        <v>357</v>
      </c>
      <c r="C17" s="47" t="s">
        <v>947</v>
      </c>
      <c r="D17" s="43" t="s">
        <v>950</v>
      </c>
      <c r="E17" s="43">
        <f>4374.4+9314.74</f>
        <v>13689.14</v>
      </c>
      <c r="F17" s="43">
        <f>1435.39+664.3+312.22</f>
        <v>2411.91</v>
      </c>
      <c r="G17" s="43">
        <v>35</v>
      </c>
      <c r="H17" s="43">
        <v>34</v>
      </c>
      <c r="I17" s="43">
        <v>136.69999999999999</v>
      </c>
      <c r="J17" s="43">
        <v>134.24</v>
      </c>
      <c r="K17" s="47">
        <f>54+51+86.7+96.3</f>
        <v>288</v>
      </c>
      <c r="L17" s="43" t="s">
        <v>359</v>
      </c>
      <c r="M17" s="43" t="s">
        <v>358</v>
      </c>
      <c r="N17" s="43"/>
      <c r="O17" s="2">
        <v>42205</v>
      </c>
      <c r="P17" s="2" t="s">
        <v>809</v>
      </c>
      <c r="Q17" s="43" t="s">
        <v>743</v>
      </c>
      <c r="R17" s="43" t="s">
        <v>26</v>
      </c>
      <c r="S17" s="43"/>
      <c r="T17" s="43"/>
      <c r="U17" s="30"/>
    </row>
    <row r="18" spans="1:21" s="5" customFormat="1" ht="165" x14ac:dyDescent="0.25">
      <c r="A18" s="50"/>
      <c r="B18" s="50"/>
      <c r="C18" s="48"/>
      <c r="D18" s="43" t="s">
        <v>949</v>
      </c>
      <c r="E18" s="43" t="s">
        <v>952</v>
      </c>
      <c r="F18" s="43">
        <v>312.22000000000003</v>
      </c>
      <c r="G18" s="43">
        <v>1</v>
      </c>
      <c r="H18" s="43">
        <v>0</v>
      </c>
      <c r="I18" s="43">
        <v>6.8</v>
      </c>
      <c r="J18" s="43">
        <v>0</v>
      </c>
      <c r="K18" s="48"/>
      <c r="L18" s="43" t="s">
        <v>359</v>
      </c>
      <c r="M18" s="43" t="s">
        <v>951</v>
      </c>
      <c r="N18" s="43"/>
      <c r="O18" s="2">
        <v>42724</v>
      </c>
      <c r="P18" s="2" t="s">
        <v>897</v>
      </c>
      <c r="Q18" s="43" t="s">
        <v>953</v>
      </c>
      <c r="R18" s="43"/>
      <c r="S18" s="43"/>
      <c r="T18" s="43"/>
      <c r="U18" s="43"/>
    </row>
    <row r="19" spans="1:21" s="5" customFormat="1" ht="360" x14ac:dyDescent="0.25">
      <c r="A19" s="50"/>
      <c r="B19" s="50"/>
      <c r="C19" s="49"/>
      <c r="D19" s="43" t="s">
        <v>360</v>
      </c>
      <c r="E19" s="43">
        <v>9492.52</v>
      </c>
      <c r="F19" s="43">
        <v>368.82</v>
      </c>
      <c r="G19" s="43">
        <v>136</v>
      </c>
      <c r="H19" s="43">
        <v>110</v>
      </c>
      <c r="I19" s="43">
        <v>346.4</v>
      </c>
      <c r="J19" s="43">
        <v>280.64</v>
      </c>
      <c r="K19" s="49"/>
      <c r="L19" s="43" t="s">
        <v>506</v>
      </c>
      <c r="M19" s="43" t="s">
        <v>507</v>
      </c>
      <c r="N19" s="43" t="s">
        <v>741</v>
      </c>
      <c r="O19" s="2">
        <v>41810</v>
      </c>
      <c r="P19" s="2" t="s">
        <v>14</v>
      </c>
      <c r="Q19" s="43" t="s">
        <v>742</v>
      </c>
      <c r="R19" s="43" t="s">
        <v>26</v>
      </c>
      <c r="S19" s="43" t="s">
        <v>542</v>
      </c>
      <c r="T19" s="43" t="s">
        <v>948</v>
      </c>
      <c r="U19" s="29"/>
    </row>
    <row r="20" spans="1:21" s="5" customFormat="1" ht="105" customHeight="1" x14ac:dyDescent="0.25">
      <c r="A20" s="73">
        <v>7</v>
      </c>
      <c r="B20" s="47" t="s">
        <v>384</v>
      </c>
      <c r="C20" s="47" t="s">
        <v>965</v>
      </c>
      <c r="D20" s="43" t="s">
        <v>460</v>
      </c>
      <c r="E20" s="43">
        <v>1755</v>
      </c>
      <c r="F20" s="43">
        <v>0</v>
      </c>
      <c r="G20" s="43">
        <v>8</v>
      </c>
      <c r="H20" s="43">
        <v>8</v>
      </c>
      <c r="I20" s="43">
        <v>43.65</v>
      </c>
      <c r="J20" s="43">
        <v>43.65</v>
      </c>
      <c r="K20" s="47">
        <f>20.28+25.041+43.774+12.105</f>
        <v>101.2</v>
      </c>
      <c r="L20" s="34" t="s">
        <v>259</v>
      </c>
      <c r="M20" s="43" t="s">
        <v>256</v>
      </c>
      <c r="N20" s="2" t="s">
        <v>759</v>
      </c>
      <c r="O20" s="2">
        <v>41968</v>
      </c>
      <c r="P20" s="2" t="s">
        <v>153</v>
      </c>
      <c r="Q20" s="43" t="s">
        <v>29</v>
      </c>
      <c r="R20" s="17"/>
      <c r="S20" s="43"/>
      <c r="T20" s="43" t="s">
        <v>966</v>
      </c>
      <c r="U20" s="34"/>
    </row>
    <row r="21" spans="1:21" s="5" customFormat="1" ht="90" x14ac:dyDescent="0.25">
      <c r="A21" s="74"/>
      <c r="B21" s="48"/>
      <c r="C21" s="48"/>
      <c r="D21" s="43" t="s">
        <v>757</v>
      </c>
      <c r="E21" s="43">
        <v>1755</v>
      </c>
      <c r="F21" s="43">
        <v>0</v>
      </c>
      <c r="G21" s="43">
        <v>9</v>
      </c>
      <c r="H21" s="43">
        <v>9</v>
      </c>
      <c r="I21" s="43">
        <v>49.3</v>
      </c>
      <c r="J21" s="43">
        <v>49.3</v>
      </c>
      <c r="K21" s="48"/>
      <c r="L21" s="43" t="s">
        <v>258</v>
      </c>
      <c r="M21" s="43" t="s">
        <v>257</v>
      </c>
      <c r="N21" s="2" t="s">
        <v>166</v>
      </c>
      <c r="O21" s="2">
        <v>42041</v>
      </c>
      <c r="P21" s="2" t="s">
        <v>718</v>
      </c>
      <c r="Q21" s="43" t="s">
        <v>29</v>
      </c>
      <c r="R21" s="17"/>
      <c r="S21" s="43"/>
      <c r="T21" s="43"/>
      <c r="U21" s="43"/>
    </row>
    <row r="22" spans="1:21" s="5" customFormat="1" ht="90" x14ac:dyDescent="0.25">
      <c r="A22" s="74"/>
      <c r="B22" s="48"/>
      <c r="C22" s="48"/>
      <c r="D22" s="43" t="s">
        <v>758</v>
      </c>
      <c r="E22" s="43">
        <v>1382.1</v>
      </c>
      <c r="F22" s="43">
        <v>0</v>
      </c>
      <c r="G22" s="43">
        <v>9</v>
      </c>
      <c r="H22" s="43">
        <v>9</v>
      </c>
      <c r="I22" s="43">
        <v>48.6</v>
      </c>
      <c r="J22" s="43">
        <v>48.6</v>
      </c>
      <c r="K22" s="48"/>
      <c r="L22" s="43" t="s">
        <v>258</v>
      </c>
      <c r="M22" s="43" t="s">
        <v>760</v>
      </c>
      <c r="N22" s="43"/>
      <c r="O22" s="2">
        <v>42402</v>
      </c>
      <c r="P22" s="2" t="s">
        <v>718</v>
      </c>
      <c r="Q22" s="43" t="s">
        <v>29</v>
      </c>
      <c r="R22" s="17"/>
      <c r="S22" s="43"/>
      <c r="T22" s="43"/>
      <c r="U22" s="43"/>
    </row>
    <row r="23" spans="1:21" s="5" customFormat="1" ht="90" x14ac:dyDescent="0.25">
      <c r="A23" s="74"/>
      <c r="B23" s="48"/>
      <c r="C23" s="48"/>
      <c r="D23" s="43" t="s">
        <v>761</v>
      </c>
      <c r="E23" s="43"/>
      <c r="F23" s="43"/>
      <c r="G23" s="43">
        <v>4</v>
      </c>
      <c r="H23" s="43">
        <v>4</v>
      </c>
      <c r="I23" s="43">
        <v>22.1</v>
      </c>
      <c r="J23" s="43">
        <v>22.1</v>
      </c>
      <c r="K23" s="48"/>
      <c r="L23" s="35" t="s">
        <v>258</v>
      </c>
      <c r="M23" s="36" t="s">
        <v>762</v>
      </c>
      <c r="N23" s="36"/>
      <c r="O23" s="67">
        <v>42223</v>
      </c>
      <c r="P23" s="67" t="s">
        <v>340</v>
      </c>
      <c r="Q23" s="36" t="s">
        <v>29</v>
      </c>
      <c r="R23" s="36" t="s">
        <v>26</v>
      </c>
      <c r="S23" s="36"/>
      <c r="T23" s="36"/>
      <c r="U23" s="35"/>
    </row>
    <row r="24" spans="1:21" s="5" customFormat="1" ht="90" x14ac:dyDescent="0.25">
      <c r="A24" s="74"/>
      <c r="B24" s="48"/>
      <c r="C24" s="48"/>
      <c r="D24" s="43" t="s">
        <v>253</v>
      </c>
      <c r="E24" s="43">
        <v>1386.2</v>
      </c>
      <c r="F24" s="43">
        <v>0</v>
      </c>
      <c r="G24" s="43">
        <v>7</v>
      </c>
      <c r="H24" s="43">
        <v>7</v>
      </c>
      <c r="I24" s="43">
        <v>38.6</v>
      </c>
      <c r="J24" s="43">
        <v>38.6</v>
      </c>
      <c r="K24" s="48"/>
      <c r="L24" s="43" t="s">
        <v>967</v>
      </c>
      <c r="M24" s="43" t="s">
        <v>255</v>
      </c>
      <c r="N24" s="43" t="s">
        <v>254</v>
      </c>
      <c r="O24" s="2">
        <v>41631</v>
      </c>
      <c r="P24" s="2" t="s">
        <v>204</v>
      </c>
      <c r="Q24" s="43" t="s">
        <v>29</v>
      </c>
      <c r="R24" s="17">
        <v>1</v>
      </c>
      <c r="S24" s="43"/>
      <c r="T24" s="43" t="s">
        <v>446</v>
      </c>
      <c r="U24" s="43" t="s">
        <v>827</v>
      </c>
    </row>
    <row r="25" spans="1:21" s="5" customFormat="1" ht="75" x14ac:dyDescent="0.25">
      <c r="A25" s="75"/>
      <c r="B25" s="49"/>
      <c r="C25" s="49"/>
      <c r="D25" s="43" t="s">
        <v>1079</v>
      </c>
      <c r="E25" s="43">
        <v>1524.86</v>
      </c>
      <c r="F25" s="43">
        <v>0</v>
      </c>
      <c r="G25" s="43">
        <v>1</v>
      </c>
      <c r="H25" s="43">
        <v>1</v>
      </c>
      <c r="I25" s="43">
        <v>5</v>
      </c>
      <c r="J25" s="43">
        <v>5</v>
      </c>
      <c r="K25" s="49"/>
      <c r="L25" s="43" t="s">
        <v>258</v>
      </c>
      <c r="M25" s="43"/>
      <c r="N25" s="43"/>
      <c r="O25" s="2">
        <v>42734</v>
      </c>
      <c r="P25" s="2" t="s">
        <v>809</v>
      </c>
      <c r="Q25" s="43" t="s">
        <v>29</v>
      </c>
      <c r="R25" s="17"/>
      <c r="S25" s="43"/>
      <c r="T25" s="43"/>
      <c r="U25" s="34"/>
    </row>
    <row r="26" spans="1:21" s="5" customFormat="1" ht="135" x14ac:dyDescent="0.25">
      <c r="A26" s="43">
        <v>8</v>
      </c>
      <c r="B26" s="43" t="s">
        <v>651</v>
      </c>
      <c r="C26" s="43" t="s">
        <v>1003</v>
      </c>
      <c r="D26" s="43" t="s">
        <v>652</v>
      </c>
      <c r="E26" s="43">
        <v>0</v>
      </c>
      <c r="F26" s="43">
        <v>18645.259999999998</v>
      </c>
      <c r="G26" s="43">
        <v>71</v>
      </c>
      <c r="H26" s="43">
        <v>57</v>
      </c>
      <c r="I26" s="43">
        <v>844.58100000000002</v>
      </c>
      <c r="J26" s="43">
        <v>400.09</v>
      </c>
      <c r="K26" s="34">
        <f>136.594+39.314+0.44+18.66</f>
        <v>195.00799999999998</v>
      </c>
      <c r="L26" s="34" t="s">
        <v>383</v>
      </c>
      <c r="M26" s="43" t="s">
        <v>165</v>
      </c>
      <c r="N26" s="43" t="s">
        <v>569</v>
      </c>
      <c r="O26" s="2">
        <v>41225</v>
      </c>
      <c r="P26" s="2" t="s">
        <v>1004</v>
      </c>
      <c r="Q26" s="43" t="s">
        <v>29</v>
      </c>
      <c r="R26" s="43" t="s">
        <v>26</v>
      </c>
      <c r="S26" s="43"/>
      <c r="T26" s="43"/>
      <c r="U26" s="34"/>
    </row>
    <row r="27" spans="1:21" s="5" customFormat="1" ht="192" customHeight="1" x14ac:dyDescent="0.25">
      <c r="A27" s="43">
        <v>9</v>
      </c>
      <c r="B27" s="43" t="s">
        <v>500</v>
      </c>
      <c r="C27" s="43" t="s">
        <v>900</v>
      </c>
      <c r="D27" s="43" t="s">
        <v>154</v>
      </c>
      <c r="E27" s="43">
        <v>4108</v>
      </c>
      <c r="F27" s="43">
        <v>0</v>
      </c>
      <c r="G27" s="43">
        <v>9</v>
      </c>
      <c r="H27" s="43">
        <v>9</v>
      </c>
      <c r="I27" s="43">
        <v>15.8</v>
      </c>
      <c r="J27" s="43">
        <v>15.8</v>
      </c>
      <c r="K27" s="34">
        <f>0+1.6+1.35+0</f>
        <v>2.95</v>
      </c>
      <c r="L27" s="34" t="s">
        <v>1063</v>
      </c>
      <c r="M27" s="43" t="s">
        <v>1064</v>
      </c>
      <c r="N27" s="43"/>
      <c r="O27" s="2">
        <v>41850</v>
      </c>
      <c r="P27" s="2" t="s">
        <v>327</v>
      </c>
      <c r="Q27" s="43" t="s">
        <v>21</v>
      </c>
      <c r="R27" s="43">
        <v>14</v>
      </c>
      <c r="S27" s="43"/>
      <c r="T27" s="43"/>
      <c r="U27" s="66"/>
    </row>
    <row r="28" spans="1:21" s="5" customFormat="1" ht="195" x14ac:dyDescent="0.25">
      <c r="A28" s="47">
        <v>10</v>
      </c>
      <c r="B28" s="47" t="s">
        <v>862</v>
      </c>
      <c r="C28" s="47" t="s">
        <v>957</v>
      </c>
      <c r="D28" s="43" t="s">
        <v>148</v>
      </c>
      <c r="E28" s="43">
        <v>793.33</v>
      </c>
      <c r="F28" s="47">
        <v>911.96</v>
      </c>
      <c r="G28" s="43">
        <v>11</v>
      </c>
      <c r="H28" s="43">
        <v>11</v>
      </c>
      <c r="I28" s="43">
        <v>38.6</v>
      </c>
      <c r="J28" s="43">
        <v>38.6</v>
      </c>
      <c r="K28" s="47">
        <f>27.4+31.8+56.4+56.6</f>
        <v>172.2</v>
      </c>
      <c r="L28" s="43" t="s">
        <v>482</v>
      </c>
      <c r="M28" s="47" t="s">
        <v>756</v>
      </c>
      <c r="N28" s="43" t="s">
        <v>483</v>
      </c>
      <c r="O28" s="2">
        <v>41705</v>
      </c>
      <c r="P28" s="2" t="s">
        <v>801</v>
      </c>
      <c r="Q28" s="43" t="s">
        <v>26</v>
      </c>
      <c r="R28" s="17">
        <v>1</v>
      </c>
      <c r="S28" s="17"/>
      <c r="T28" s="43" t="s">
        <v>484</v>
      </c>
      <c r="U28" s="34" t="s">
        <v>800</v>
      </c>
    </row>
    <row r="29" spans="1:21" s="5" customFormat="1" ht="195" x14ac:dyDescent="0.25">
      <c r="A29" s="48"/>
      <c r="B29" s="48"/>
      <c r="C29" s="48"/>
      <c r="D29" s="43" t="s">
        <v>152</v>
      </c>
      <c r="E29" s="43">
        <v>793.33</v>
      </c>
      <c r="F29" s="48"/>
      <c r="G29" s="43">
        <v>10</v>
      </c>
      <c r="H29" s="43">
        <v>10</v>
      </c>
      <c r="I29" s="43">
        <v>42</v>
      </c>
      <c r="J29" s="43">
        <v>42</v>
      </c>
      <c r="K29" s="48"/>
      <c r="L29" s="43" t="s">
        <v>482</v>
      </c>
      <c r="M29" s="48"/>
      <c r="N29" s="43" t="s">
        <v>480</v>
      </c>
      <c r="O29" s="2">
        <v>41787</v>
      </c>
      <c r="P29" s="2" t="s">
        <v>803</v>
      </c>
      <c r="Q29" s="43" t="s">
        <v>26</v>
      </c>
      <c r="R29" s="17">
        <v>1</v>
      </c>
      <c r="S29" s="17"/>
      <c r="T29" s="43" t="s">
        <v>958</v>
      </c>
      <c r="U29" s="34" t="s">
        <v>800</v>
      </c>
    </row>
    <row r="30" spans="1:21" s="5" customFormat="1" ht="195" x14ac:dyDescent="0.25">
      <c r="A30" s="48"/>
      <c r="B30" s="48"/>
      <c r="C30" s="48"/>
      <c r="D30" s="43" t="s">
        <v>754</v>
      </c>
      <c r="E30" s="43">
        <v>944.96</v>
      </c>
      <c r="F30" s="48"/>
      <c r="G30" s="43">
        <v>6</v>
      </c>
      <c r="H30" s="43">
        <v>6</v>
      </c>
      <c r="I30" s="43">
        <v>35.200000000000003</v>
      </c>
      <c r="J30" s="43">
        <v>35.200000000000003</v>
      </c>
      <c r="K30" s="48"/>
      <c r="L30" s="43" t="s">
        <v>482</v>
      </c>
      <c r="M30" s="48"/>
      <c r="N30" s="43" t="s">
        <v>480</v>
      </c>
      <c r="O30" s="2">
        <v>41780</v>
      </c>
      <c r="P30" s="2" t="s">
        <v>803</v>
      </c>
      <c r="Q30" s="43" t="s">
        <v>26</v>
      </c>
      <c r="R30" s="17">
        <v>1</v>
      </c>
      <c r="S30" s="17"/>
      <c r="T30" s="43" t="s">
        <v>485</v>
      </c>
      <c r="U30" s="43"/>
    </row>
    <row r="31" spans="1:21" s="5" customFormat="1" ht="210" x14ac:dyDescent="0.25">
      <c r="A31" s="48"/>
      <c r="B31" s="48"/>
      <c r="C31" s="48"/>
      <c r="D31" s="43" t="s">
        <v>150</v>
      </c>
      <c r="E31" s="43">
        <v>5691.7</v>
      </c>
      <c r="F31" s="48"/>
      <c r="G31" s="43">
        <v>59</v>
      </c>
      <c r="H31" s="43">
        <v>49</v>
      </c>
      <c r="I31" s="43">
        <v>165.7</v>
      </c>
      <c r="J31" s="43">
        <v>127.45</v>
      </c>
      <c r="K31" s="48"/>
      <c r="L31" s="43" t="s">
        <v>151</v>
      </c>
      <c r="M31" s="48"/>
      <c r="N31" s="5" t="s">
        <v>340</v>
      </c>
      <c r="O31" s="2">
        <v>42264</v>
      </c>
      <c r="P31" s="2" t="s">
        <v>804</v>
      </c>
      <c r="Q31" s="43" t="s">
        <v>26</v>
      </c>
      <c r="R31" s="17">
        <v>0.24</v>
      </c>
      <c r="S31" s="17"/>
      <c r="T31" s="43"/>
      <c r="U31" s="35"/>
    </row>
    <row r="32" spans="1:21" s="5" customFormat="1" ht="165" x14ac:dyDescent="0.25">
      <c r="A32" s="48"/>
      <c r="B32" s="48"/>
      <c r="C32" s="48"/>
      <c r="D32" s="43" t="s">
        <v>380</v>
      </c>
      <c r="E32" s="43">
        <v>1089.0899999999999</v>
      </c>
      <c r="F32" s="48"/>
      <c r="G32" s="43">
        <v>7</v>
      </c>
      <c r="H32" s="43">
        <v>4</v>
      </c>
      <c r="I32" s="43">
        <v>37.18</v>
      </c>
      <c r="J32" s="43">
        <v>18.98</v>
      </c>
      <c r="K32" s="48"/>
      <c r="L32" s="43" t="s">
        <v>149</v>
      </c>
      <c r="M32" s="48"/>
      <c r="N32" s="43" t="s">
        <v>480</v>
      </c>
      <c r="O32" s="2">
        <v>42068</v>
      </c>
      <c r="P32" s="2" t="s">
        <v>803</v>
      </c>
      <c r="Q32" s="43" t="s">
        <v>26</v>
      </c>
      <c r="R32" s="17">
        <v>1</v>
      </c>
      <c r="S32" s="17"/>
      <c r="T32" s="43" t="s">
        <v>486</v>
      </c>
      <c r="U32" s="34"/>
    </row>
    <row r="33" spans="1:21" s="5" customFormat="1" ht="195" x14ac:dyDescent="0.25">
      <c r="A33" s="48"/>
      <c r="B33" s="48"/>
      <c r="C33" s="48"/>
      <c r="D33" s="43" t="s">
        <v>755</v>
      </c>
      <c r="E33" s="43">
        <v>1125.539</v>
      </c>
      <c r="F33" s="48"/>
      <c r="G33" s="43">
        <v>8</v>
      </c>
      <c r="H33" s="43">
        <v>8</v>
      </c>
      <c r="I33" s="43">
        <v>29.2</v>
      </c>
      <c r="J33" s="43">
        <v>29.2</v>
      </c>
      <c r="K33" s="48"/>
      <c r="L33" s="43" t="s">
        <v>482</v>
      </c>
      <c r="M33" s="48"/>
      <c r="N33" s="2" t="s">
        <v>153</v>
      </c>
      <c r="O33" s="2">
        <v>42369</v>
      </c>
      <c r="P33" s="2" t="s">
        <v>153</v>
      </c>
      <c r="Q33" s="43" t="s">
        <v>26</v>
      </c>
      <c r="R33" s="17">
        <v>0.92</v>
      </c>
      <c r="S33" s="17"/>
      <c r="T33" s="43" t="s">
        <v>986</v>
      </c>
      <c r="U33" s="43"/>
    </row>
    <row r="34" spans="1:21" s="5" customFormat="1" ht="195" x14ac:dyDescent="0.25">
      <c r="A34" s="48"/>
      <c r="B34" s="48"/>
      <c r="C34" s="48"/>
      <c r="D34" s="43" t="s">
        <v>752</v>
      </c>
      <c r="E34" s="43">
        <v>251.38</v>
      </c>
      <c r="F34" s="48"/>
      <c r="G34" s="43">
        <v>2</v>
      </c>
      <c r="H34" s="43">
        <v>2</v>
      </c>
      <c r="I34" s="43">
        <v>7.3</v>
      </c>
      <c r="J34" s="43">
        <v>7.3</v>
      </c>
      <c r="K34" s="48"/>
      <c r="L34" s="43" t="s">
        <v>482</v>
      </c>
      <c r="M34" s="48"/>
      <c r="N34" s="2" t="s">
        <v>487</v>
      </c>
      <c r="O34" s="2">
        <v>42474</v>
      </c>
      <c r="P34" s="2" t="s">
        <v>804</v>
      </c>
      <c r="Q34" s="43" t="s">
        <v>26</v>
      </c>
      <c r="R34" s="17">
        <v>0.54</v>
      </c>
      <c r="S34" s="17"/>
      <c r="T34" s="43"/>
      <c r="U34" s="35"/>
    </row>
    <row r="35" spans="1:21" s="5" customFormat="1" ht="195" x14ac:dyDescent="0.25">
      <c r="A35" s="49"/>
      <c r="B35" s="49"/>
      <c r="C35" s="49"/>
      <c r="D35" s="43" t="s">
        <v>753</v>
      </c>
      <c r="E35" s="43">
        <v>854.84</v>
      </c>
      <c r="F35" s="49"/>
      <c r="G35" s="43">
        <v>2</v>
      </c>
      <c r="H35" s="43">
        <v>2</v>
      </c>
      <c r="I35" s="43">
        <v>9.8000000000000007</v>
      </c>
      <c r="J35" s="43">
        <v>9.8000000000000007</v>
      </c>
      <c r="K35" s="49"/>
      <c r="L35" s="43" t="s">
        <v>482</v>
      </c>
      <c r="M35" s="49"/>
      <c r="N35" s="2" t="s">
        <v>340</v>
      </c>
      <c r="O35" s="2">
        <v>42629</v>
      </c>
      <c r="P35" s="2" t="s">
        <v>805</v>
      </c>
      <c r="Q35" s="43" t="s">
        <v>26</v>
      </c>
      <c r="R35" s="17">
        <v>0.09</v>
      </c>
      <c r="S35" s="17"/>
      <c r="T35" s="43"/>
      <c r="U35" s="36"/>
    </row>
    <row r="36" spans="1:21" s="5" customFormat="1" ht="150" x14ac:dyDescent="0.25">
      <c r="A36" s="43">
        <v>11</v>
      </c>
      <c r="B36" s="43" t="s">
        <v>412</v>
      </c>
      <c r="C36" s="36"/>
      <c r="D36" s="36" t="s">
        <v>750</v>
      </c>
      <c r="E36" s="36">
        <v>2755.2</v>
      </c>
      <c r="F36" s="36">
        <v>1583.76</v>
      </c>
      <c r="G36" s="36">
        <v>49</v>
      </c>
      <c r="H36" s="36">
        <v>45</v>
      </c>
      <c r="I36" s="36">
        <v>133.1</v>
      </c>
      <c r="J36" s="36">
        <v>117.34</v>
      </c>
      <c r="K36" s="35">
        <f>4.8+4.9+7.8</f>
        <v>17.5</v>
      </c>
      <c r="L36" s="35" t="s">
        <v>421</v>
      </c>
      <c r="M36" s="36" t="s">
        <v>126</v>
      </c>
      <c r="N36" s="67" t="s">
        <v>751</v>
      </c>
      <c r="O36" s="67">
        <v>41444</v>
      </c>
      <c r="P36" s="67">
        <v>42870</v>
      </c>
      <c r="Q36" s="43" t="s">
        <v>26</v>
      </c>
      <c r="R36" s="43" t="s">
        <v>26</v>
      </c>
      <c r="S36" s="36"/>
      <c r="T36" s="36"/>
      <c r="U36" s="29"/>
    </row>
    <row r="37" spans="1:21" s="5" customFormat="1" ht="105" customHeight="1" x14ac:dyDescent="0.25">
      <c r="A37" s="50">
        <v>12</v>
      </c>
      <c r="B37" s="50" t="s">
        <v>596</v>
      </c>
      <c r="C37" s="47" t="s">
        <v>1011</v>
      </c>
      <c r="D37" s="43" t="s">
        <v>9</v>
      </c>
      <c r="E37" s="43">
        <v>5814.4</v>
      </c>
      <c r="F37" s="43">
        <v>432.3</v>
      </c>
      <c r="G37" s="43">
        <v>73</v>
      </c>
      <c r="H37" s="43">
        <v>69</v>
      </c>
      <c r="I37" s="43">
        <v>187</v>
      </c>
      <c r="J37" s="43">
        <v>128.9</v>
      </c>
      <c r="K37" s="47">
        <f>168.79</f>
        <v>168.79</v>
      </c>
      <c r="L37" s="34" t="s">
        <v>604</v>
      </c>
      <c r="M37" s="43" t="s">
        <v>605</v>
      </c>
      <c r="N37" s="43" t="s">
        <v>615</v>
      </c>
      <c r="O37" s="2">
        <v>41612</v>
      </c>
      <c r="P37" s="2" t="s">
        <v>822</v>
      </c>
      <c r="Q37" s="43" t="s">
        <v>29</v>
      </c>
      <c r="R37" s="43" t="s">
        <v>26</v>
      </c>
      <c r="S37" s="43"/>
      <c r="T37" s="43"/>
      <c r="U37" s="30"/>
    </row>
    <row r="38" spans="1:21" s="5" customFormat="1" ht="105" x14ac:dyDescent="0.25">
      <c r="A38" s="50"/>
      <c r="B38" s="50"/>
      <c r="C38" s="48"/>
      <c r="D38" s="43" t="s">
        <v>10</v>
      </c>
      <c r="E38" s="43">
        <v>5193.1000000000004</v>
      </c>
      <c r="F38" s="43">
        <v>336.2</v>
      </c>
      <c r="G38" s="43">
        <v>18</v>
      </c>
      <c r="H38" s="43">
        <v>12</v>
      </c>
      <c r="I38" s="43">
        <v>168.01</v>
      </c>
      <c r="J38" s="43">
        <v>29</v>
      </c>
      <c r="K38" s="48"/>
      <c r="L38" s="34" t="s">
        <v>60</v>
      </c>
      <c r="M38" s="43" t="s">
        <v>600</v>
      </c>
      <c r="N38" s="43" t="s">
        <v>616</v>
      </c>
      <c r="O38" s="2">
        <v>41639</v>
      </c>
      <c r="P38" s="2" t="s">
        <v>820</v>
      </c>
      <c r="Q38" s="43" t="s">
        <v>29</v>
      </c>
      <c r="R38" s="43" t="s">
        <v>26</v>
      </c>
      <c r="S38" s="43"/>
      <c r="T38" s="43"/>
      <c r="U38" s="43"/>
    </row>
    <row r="39" spans="1:21" s="5" customFormat="1" ht="105" x14ac:dyDescent="0.25">
      <c r="A39" s="50"/>
      <c r="B39" s="50"/>
      <c r="C39" s="48"/>
      <c r="D39" s="43" t="s">
        <v>11</v>
      </c>
      <c r="E39" s="43">
        <v>11668.3</v>
      </c>
      <c r="F39" s="43">
        <v>685.4</v>
      </c>
      <c r="G39" s="43">
        <v>9</v>
      </c>
      <c r="H39" s="43">
        <v>3</v>
      </c>
      <c r="I39" s="43">
        <v>380.7</v>
      </c>
      <c r="J39" s="43">
        <v>5</v>
      </c>
      <c r="K39" s="48"/>
      <c r="L39" s="34" t="s">
        <v>61</v>
      </c>
      <c r="M39" s="43" t="s">
        <v>601</v>
      </c>
      <c r="N39" s="43" t="s">
        <v>602</v>
      </c>
      <c r="O39" s="2">
        <v>41614</v>
      </c>
      <c r="P39" s="2" t="s">
        <v>821</v>
      </c>
      <c r="Q39" s="43" t="s">
        <v>29</v>
      </c>
      <c r="R39" s="43" t="s">
        <v>26</v>
      </c>
      <c r="S39" s="43"/>
      <c r="T39" s="43"/>
      <c r="U39" s="28"/>
    </row>
    <row r="40" spans="1:21" s="5" customFormat="1" ht="135" x14ac:dyDescent="0.25">
      <c r="A40" s="50"/>
      <c r="B40" s="50"/>
      <c r="C40" s="48"/>
      <c r="D40" s="43" t="s">
        <v>599</v>
      </c>
      <c r="E40" s="43">
        <v>6576.76</v>
      </c>
      <c r="F40" s="43">
        <v>2797.5</v>
      </c>
      <c r="G40" s="43">
        <v>118</v>
      </c>
      <c r="H40" s="43">
        <v>114</v>
      </c>
      <c r="I40" s="43">
        <v>224.9</v>
      </c>
      <c r="J40" s="43">
        <v>206</v>
      </c>
      <c r="K40" s="48"/>
      <c r="L40" s="34" t="s">
        <v>597</v>
      </c>
      <c r="M40" s="43" t="s">
        <v>598</v>
      </c>
      <c r="N40" s="43" t="s">
        <v>617</v>
      </c>
      <c r="O40" s="2">
        <v>41612</v>
      </c>
      <c r="P40" s="2" t="s">
        <v>718</v>
      </c>
      <c r="Q40" s="43" t="s">
        <v>29</v>
      </c>
      <c r="R40" s="43" t="s">
        <v>26</v>
      </c>
      <c r="S40" s="43"/>
      <c r="T40" s="43"/>
      <c r="U40" s="43"/>
    </row>
    <row r="41" spans="1:21" s="5" customFormat="1" ht="135" x14ac:dyDescent="0.25">
      <c r="A41" s="50"/>
      <c r="B41" s="50"/>
      <c r="C41" s="48"/>
      <c r="D41" s="43" t="s">
        <v>608</v>
      </c>
      <c r="E41" s="43">
        <v>14104.71</v>
      </c>
      <c r="F41" s="43">
        <v>0</v>
      </c>
      <c r="G41" s="43">
        <v>193</v>
      </c>
      <c r="H41" s="43">
        <v>187</v>
      </c>
      <c r="I41" s="43">
        <v>442.1</v>
      </c>
      <c r="J41" s="43">
        <v>296.7</v>
      </c>
      <c r="K41" s="48"/>
      <c r="L41" s="34" t="s">
        <v>443</v>
      </c>
      <c r="M41" s="43" t="s">
        <v>606</v>
      </c>
      <c r="N41" s="2" t="s">
        <v>607</v>
      </c>
      <c r="O41" s="2">
        <v>41740</v>
      </c>
      <c r="P41" s="2" t="s">
        <v>204</v>
      </c>
      <c r="Q41" s="47" t="s">
        <v>17</v>
      </c>
      <c r="R41" s="43" t="s">
        <v>26</v>
      </c>
      <c r="S41" s="43"/>
      <c r="T41" s="43"/>
      <c r="U41" s="43"/>
    </row>
    <row r="42" spans="1:21" s="5" customFormat="1" ht="135" x14ac:dyDescent="0.25">
      <c r="A42" s="50"/>
      <c r="B42" s="50"/>
      <c r="C42" s="48"/>
      <c r="D42" s="43" t="s">
        <v>609</v>
      </c>
      <c r="E42" s="43">
        <v>7046.95</v>
      </c>
      <c r="F42" s="43">
        <v>0</v>
      </c>
      <c r="G42" s="43">
        <v>63</v>
      </c>
      <c r="H42" s="43">
        <v>60</v>
      </c>
      <c r="I42" s="43">
        <v>226.8</v>
      </c>
      <c r="J42" s="43">
        <v>89.2</v>
      </c>
      <c r="K42" s="48"/>
      <c r="L42" s="34" t="s">
        <v>445</v>
      </c>
      <c r="M42" s="43" t="s">
        <v>610</v>
      </c>
      <c r="N42" s="2" t="s">
        <v>611</v>
      </c>
      <c r="O42" s="2">
        <v>41795</v>
      </c>
      <c r="P42" s="2" t="s">
        <v>153</v>
      </c>
      <c r="Q42" s="48"/>
      <c r="R42" s="43" t="s">
        <v>26</v>
      </c>
      <c r="S42" s="43"/>
      <c r="T42" s="43"/>
      <c r="U42" s="43"/>
    </row>
    <row r="43" spans="1:21" s="5" customFormat="1" ht="135" x14ac:dyDescent="0.25">
      <c r="A43" s="50"/>
      <c r="B43" s="50"/>
      <c r="C43" s="49"/>
      <c r="D43" s="43" t="s">
        <v>612</v>
      </c>
      <c r="E43" s="43">
        <v>10593.23</v>
      </c>
      <c r="F43" s="43">
        <v>0</v>
      </c>
      <c r="G43" s="43">
        <v>52</v>
      </c>
      <c r="H43" s="43">
        <v>47</v>
      </c>
      <c r="I43" s="43">
        <v>282.5</v>
      </c>
      <c r="J43" s="43">
        <v>69.099999999999994</v>
      </c>
      <c r="K43" s="49"/>
      <c r="L43" s="34" t="s">
        <v>444</v>
      </c>
      <c r="M43" s="43" t="s">
        <v>613</v>
      </c>
      <c r="N43" s="2" t="s">
        <v>614</v>
      </c>
      <c r="O43" s="2">
        <v>41789</v>
      </c>
      <c r="P43" s="67" t="s">
        <v>14</v>
      </c>
      <c r="Q43" s="49"/>
      <c r="R43" s="36" t="s">
        <v>26</v>
      </c>
      <c r="S43" s="36"/>
      <c r="T43" s="36"/>
      <c r="U43" s="29"/>
    </row>
    <row r="44" spans="1:21" s="5" customFormat="1" x14ac:dyDescent="0.25">
      <c r="A44" s="34"/>
      <c r="B44" s="34" t="s">
        <v>79</v>
      </c>
      <c r="C44" s="34"/>
      <c r="D44" s="43"/>
      <c r="E44" s="43"/>
      <c r="F44" s="43"/>
      <c r="G44" s="43">
        <f>SUM(G37:G43)</f>
        <v>526</v>
      </c>
      <c r="H44" s="43">
        <f t="shared" ref="H44:K44" si="0">SUM(H37:H43)</f>
        <v>492</v>
      </c>
      <c r="I44" s="43">
        <f t="shared" si="0"/>
        <v>1912.01</v>
      </c>
      <c r="J44" s="43">
        <f t="shared" si="0"/>
        <v>823.9</v>
      </c>
      <c r="K44" s="43">
        <f t="shared" si="0"/>
        <v>168.79</v>
      </c>
      <c r="L44" s="34"/>
      <c r="M44" s="43"/>
      <c r="N44" s="2"/>
      <c r="O44" s="9"/>
      <c r="P44" s="9"/>
      <c r="Q44" s="34"/>
      <c r="R44" s="43"/>
      <c r="S44" s="35"/>
      <c r="T44" s="35"/>
      <c r="U44" s="28"/>
    </row>
    <row r="45" spans="1:21" s="5" customFormat="1" ht="120" x14ac:dyDescent="0.25">
      <c r="A45" s="43">
        <v>13</v>
      </c>
      <c r="B45" s="34" t="s">
        <v>241</v>
      </c>
      <c r="C45" s="43" t="s">
        <v>915</v>
      </c>
      <c r="D45" s="43" t="s">
        <v>650</v>
      </c>
      <c r="E45" s="43">
        <v>2309</v>
      </c>
      <c r="F45" s="43">
        <f>337.1+310+93.9</f>
        <v>741</v>
      </c>
      <c r="G45" s="43">
        <v>30</v>
      </c>
      <c r="H45" s="43">
        <v>25</v>
      </c>
      <c r="I45" s="43">
        <v>81.2</v>
      </c>
      <c r="J45" s="43">
        <v>59.308999999999997</v>
      </c>
      <c r="K45" s="43">
        <f>1.7+4.28+26.8+18.9</f>
        <v>51.68</v>
      </c>
      <c r="L45" s="43" t="s">
        <v>242</v>
      </c>
      <c r="M45" s="43" t="s">
        <v>243</v>
      </c>
      <c r="N45" s="43"/>
      <c r="O45" s="2">
        <v>42324</v>
      </c>
      <c r="P45" s="2" t="s">
        <v>818</v>
      </c>
      <c r="Q45" s="43" t="s">
        <v>26</v>
      </c>
      <c r="R45" s="36" t="s">
        <v>26</v>
      </c>
      <c r="S45" s="36"/>
      <c r="T45" s="43"/>
      <c r="U45" s="43"/>
    </row>
    <row r="46" spans="1:21" s="5" customFormat="1" ht="150" customHeight="1" x14ac:dyDescent="0.25">
      <c r="A46" s="47">
        <v>14</v>
      </c>
      <c r="B46" s="47" t="s">
        <v>118</v>
      </c>
      <c r="C46" s="47" t="s">
        <v>887</v>
      </c>
      <c r="D46" s="43" t="s">
        <v>906</v>
      </c>
      <c r="E46" s="43">
        <v>9421.76</v>
      </c>
      <c r="F46" s="43">
        <v>0</v>
      </c>
      <c r="G46" s="43">
        <v>160</v>
      </c>
      <c r="H46" s="43">
        <f>57+16</f>
        <v>73</v>
      </c>
      <c r="I46" s="43">
        <v>333.3</v>
      </c>
      <c r="J46" s="43">
        <f>115.5+33.5</f>
        <v>149</v>
      </c>
      <c r="K46" s="47">
        <f>44.85+46.45+59.28+54.22</f>
        <v>204.8</v>
      </c>
      <c r="L46" s="43" t="s">
        <v>553</v>
      </c>
      <c r="M46" s="43" t="s">
        <v>121</v>
      </c>
      <c r="N46" s="43"/>
      <c r="O46" s="2">
        <v>42207</v>
      </c>
      <c r="P46" s="2" t="s">
        <v>718</v>
      </c>
      <c r="Q46" s="43" t="s">
        <v>21</v>
      </c>
      <c r="R46" s="43" t="s">
        <v>26</v>
      </c>
      <c r="S46" s="43"/>
      <c r="T46" s="43"/>
      <c r="U46" s="34"/>
    </row>
    <row r="47" spans="1:21" s="5" customFormat="1" ht="75" x14ac:dyDescent="0.25">
      <c r="A47" s="48"/>
      <c r="B47" s="48"/>
      <c r="C47" s="48"/>
      <c r="D47" s="43" t="s">
        <v>120</v>
      </c>
      <c r="E47" s="43">
        <v>9624.2000000000007</v>
      </c>
      <c r="F47" s="43">
        <v>2595.4</v>
      </c>
      <c r="G47" s="43">
        <v>165</v>
      </c>
      <c r="H47" s="43">
        <v>72</v>
      </c>
      <c r="I47" s="43">
        <v>396.05</v>
      </c>
      <c r="J47" s="43">
        <v>179.67</v>
      </c>
      <c r="K47" s="48"/>
      <c r="L47" s="43" t="s">
        <v>27</v>
      </c>
      <c r="M47" s="43" t="s">
        <v>119</v>
      </c>
      <c r="N47" s="43" t="s">
        <v>15</v>
      </c>
      <c r="O47" s="2">
        <v>41780</v>
      </c>
      <c r="P47" s="2" t="s">
        <v>15</v>
      </c>
      <c r="Q47" s="43" t="s">
        <v>21</v>
      </c>
      <c r="R47" s="17">
        <v>1</v>
      </c>
      <c r="S47" s="43"/>
      <c r="T47" s="43" t="s">
        <v>281</v>
      </c>
      <c r="U47" s="43" t="s">
        <v>828</v>
      </c>
    </row>
    <row r="48" spans="1:21" s="5" customFormat="1" ht="105" x14ac:dyDescent="0.25">
      <c r="A48" s="49"/>
      <c r="B48" s="49"/>
      <c r="C48" s="49"/>
      <c r="D48" s="43" t="s">
        <v>888</v>
      </c>
      <c r="E48" s="43">
        <v>6349</v>
      </c>
      <c r="F48" s="43">
        <v>0</v>
      </c>
      <c r="G48" s="43">
        <v>1</v>
      </c>
      <c r="H48" s="43">
        <v>0</v>
      </c>
      <c r="I48" s="43">
        <v>1.27</v>
      </c>
      <c r="J48" s="43">
        <v>0</v>
      </c>
      <c r="K48" s="49"/>
      <c r="L48" s="43" t="s">
        <v>889</v>
      </c>
      <c r="M48" s="43" t="s">
        <v>907</v>
      </c>
      <c r="N48" s="43"/>
      <c r="O48" s="2">
        <v>42727</v>
      </c>
      <c r="P48" s="2" t="s">
        <v>809</v>
      </c>
      <c r="Q48" s="43" t="s">
        <v>625</v>
      </c>
      <c r="R48" s="43" t="s">
        <v>26</v>
      </c>
      <c r="S48" s="43"/>
      <c r="T48" s="43"/>
      <c r="U48" s="66"/>
    </row>
    <row r="49" spans="1:21" s="5" customFormat="1" ht="135" customHeight="1" x14ac:dyDescent="0.25">
      <c r="A49" s="47">
        <v>15</v>
      </c>
      <c r="B49" s="47" t="s">
        <v>277</v>
      </c>
      <c r="C49" s="47" t="s">
        <v>991</v>
      </c>
      <c r="D49" s="43" t="s">
        <v>648</v>
      </c>
      <c r="E49" s="43">
        <v>5925.45</v>
      </c>
      <c r="F49" s="43">
        <v>696.8</v>
      </c>
      <c r="G49" s="43">
        <v>59</v>
      </c>
      <c r="H49" s="43">
        <v>37</v>
      </c>
      <c r="I49" s="43">
        <v>189.6</v>
      </c>
      <c r="J49" s="43">
        <v>119.76</v>
      </c>
      <c r="K49" s="47">
        <f>11+3+2.2+1.5</f>
        <v>17.7</v>
      </c>
      <c r="L49" s="43" t="s">
        <v>279</v>
      </c>
      <c r="M49" s="43" t="s">
        <v>278</v>
      </c>
      <c r="N49" s="43" t="s">
        <v>282</v>
      </c>
      <c r="O49" s="2">
        <v>41638</v>
      </c>
      <c r="P49" s="2">
        <v>42539</v>
      </c>
      <c r="Q49" s="43" t="s">
        <v>29</v>
      </c>
      <c r="R49" s="17">
        <v>1</v>
      </c>
      <c r="S49" s="43"/>
      <c r="T49" s="43" t="s">
        <v>280</v>
      </c>
      <c r="U49" s="66"/>
    </row>
    <row r="50" spans="1:21" s="5" customFormat="1" ht="135" x14ac:dyDescent="0.25">
      <c r="A50" s="49"/>
      <c r="B50" s="49"/>
      <c r="C50" s="49"/>
      <c r="D50" s="43" t="s">
        <v>992</v>
      </c>
      <c r="E50" s="43">
        <v>3197.5</v>
      </c>
      <c r="F50" s="43">
        <v>383.98</v>
      </c>
      <c r="G50" s="43">
        <v>1</v>
      </c>
      <c r="H50" s="43">
        <v>1</v>
      </c>
      <c r="I50" s="43">
        <v>1.7</v>
      </c>
      <c r="J50" s="43">
        <v>1.7</v>
      </c>
      <c r="K50" s="49"/>
      <c r="L50" s="43" t="s">
        <v>1002</v>
      </c>
      <c r="M50" s="43" t="s">
        <v>1050</v>
      </c>
      <c r="N50" s="43"/>
      <c r="O50" s="2">
        <v>42734</v>
      </c>
      <c r="P50" s="2" t="s">
        <v>993</v>
      </c>
      <c r="Q50" s="43" t="s">
        <v>1049</v>
      </c>
      <c r="R50" s="17" t="s">
        <v>26</v>
      </c>
      <c r="S50" s="43"/>
      <c r="T50" s="43"/>
      <c r="U50" s="66"/>
    </row>
    <row r="51" spans="1:21" s="5" customFormat="1" ht="105" customHeight="1" x14ac:dyDescent="0.25">
      <c r="A51" s="48">
        <v>16</v>
      </c>
      <c r="B51" s="48" t="s">
        <v>294</v>
      </c>
      <c r="C51" s="47" t="s">
        <v>884</v>
      </c>
      <c r="D51" s="43" t="s">
        <v>295</v>
      </c>
      <c r="E51" s="43">
        <v>5925.2</v>
      </c>
      <c r="F51" s="43"/>
      <c r="G51" s="43">
        <v>4</v>
      </c>
      <c r="H51" s="43">
        <v>2</v>
      </c>
      <c r="I51" s="43">
        <v>282.79000000000002</v>
      </c>
      <c r="J51" s="43">
        <v>5.55</v>
      </c>
      <c r="K51" s="47">
        <f>400.14+722.43+152.44+404.4</f>
        <v>1679.4099999999999</v>
      </c>
      <c r="L51" s="43" t="s">
        <v>86</v>
      </c>
      <c r="M51" s="43" t="s">
        <v>498</v>
      </c>
      <c r="N51" s="43"/>
      <c r="O51" s="2">
        <v>42180</v>
      </c>
      <c r="P51" s="2" t="s">
        <v>807</v>
      </c>
      <c r="Q51" s="43" t="s">
        <v>24</v>
      </c>
      <c r="R51" s="17">
        <v>1</v>
      </c>
      <c r="S51" s="43"/>
      <c r="T51" s="43" t="s">
        <v>708</v>
      </c>
      <c r="U51" s="43" t="s">
        <v>802</v>
      </c>
    </row>
    <row r="52" spans="1:21" s="5" customFormat="1" ht="105" x14ac:dyDescent="0.25">
      <c r="A52" s="48"/>
      <c r="B52" s="48"/>
      <c r="C52" s="48"/>
      <c r="D52" s="43" t="s">
        <v>296</v>
      </c>
      <c r="E52" s="43">
        <v>7322.2</v>
      </c>
      <c r="F52" s="43"/>
      <c r="G52" s="43">
        <v>4</v>
      </c>
      <c r="H52" s="43">
        <v>0</v>
      </c>
      <c r="I52" s="43">
        <v>383.64</v>
      </c>
      <c r="J52" s="43">
        <v>0</v>
      </c>
      <c r="K52" s="48"/>
      <c r="L52" s="43" t="s">
        <v>87</v>
      </c>
      <c r="M52" s="43" t="s">
        <v>300</v>
      </c>
      <c r="N52" s="43"/>
      <c r="O52" s="2">
        <v>42200</v>
      </c>
      <c r="P52" s="2" t="s">
        <v>807</v>
      </c>
      <c r="Q52" s="43" t="s">
        <v>24</v>
      </c>
      <c r="R52" s="17">
        <v>1</v>
      </c>
      <c r="S52" s="43"/>
      <c r="T52" s="43" t="s">
        <v>709</v>
      </c>
      <c r="U52" s="43" t="s">
        <v>802</v>
      </c>
    </row>
    <row r="53" spans="1:21" s="5" customFormat="1" ht="120" x14ac:dyDescent="0.25">
      <c r="A53" s="48"/>
      <c r="B53" s="48"/>
      <c r="C53" s="48"/>
      <c r="D53" s="43" t="s">
        <v>88</v>
      </c>
      <c r="E53" s="43">
        <v>13524</v>
      </c>
      <c r="F53" s="43">
        <v>1970</v>
      </c>
      <c r="G53" s="43">
        <v>3</v>
      </c>
      <c r="H53" s="43">
        <v>0</v>
      </c>
      <c r="I53" s="43">
        <v>815.66899999999998</v>
      </c>
      <c r="J53" s="43">
        <v>0</v>
      </c>
      <c r="K53" s="48"/>
      <c r="L53" s="43" t="s">
        <v>299</v>
      </c>
      <c r="M53" s="43" t="s">
        <v>298</v>
      </c>
      <c r="N53" s="43"/>
      <c r="O53" s="2">
        <v>42276</v>
      </c>
      <c r="P53" s="2" t="s">
        <v>807</v>
      </c>
      <c r="Q53" s="43" t="s">
        <v>24</v>
      </c>
      <c r="R53" s="17">
        <v>1</v>
      </c>
      <c r="S53" s="43"/>
      <c r="T53" s="43" t="s">
        <v>710</v>
      </c>
      <c r="U53" s="43" t="s">
        <v>802</v>
      </c>
    </row>
    <row r="54" spans="1:21" s="5" customFormat="1" ht="120" x14ac:dyDescent="0.25">
      <c r="A54" s="48"/>
      <c r="B54" s="48"/>
      <c r="C54" s="48"/>
      <c r="D54" s="43" t="s">
        <v>704</v>
      </c>
      <c r="E54" s="43">
        <v>10176</v>
      </c>
      <c r="F54" s="43">
        <v>1463</v>
      </c>
      <c r="G54" s="43">
        <v>3</v>
      </c>
      <c r="H54" s="43">
        <v>0</v>
      </c>
      <c r="I54" s="43">
        <v>620.072</v>
      </c>
      <c r="J54" s="43">
        <v>0</v>
      </c>
      <c r="K54" s="48"/>
      <c r="L54" s="43" t="s">
        <v>885</v>
      </c>
      <c r="M54" s="43" t="s">
        <v>297</v>
      </c>
      <c r="N54" s="43"/>
      <c r="O54" s="2">
        <v>42460</v>
      </c>
      <c r="P54" s="2" t="s">
        <v>808</v>
      </c>
      <c r="Q54" s="43" t="s">
        <v>26</v>
      </c>
      <c r="R54" s="17">
        <v>0.73</v>
      </c>
      <c r="S54" s="43" t="s">
        <v>868</v>
      </c>
      <c r="T54" s="17"/>
      <c r="U54" s="17"/>
    </row>
    <row r="55" spans="1:21" s="5" customFormat="1" ht="120" x14ac:dyDescent="0.25">
      <c r="A55" s="48"/>
      <c r="B55" s="48"/>
      <c r="C55" s="48"/>
      <c r="D55" s="43" t="s">
        <v>705</v>
      </c>
      <c r="E55" s="40">
        <v>13887.7</v>
      </c>
      <c r="F55" s="40">
        <v>2318.14</v>
      </c>
      <c r="G55" s="40">
        <v>3</v>
      </c>
      <c r="H55" s="40">
        <v>0</v>
      </c>
      <c r="I55" s="40">
        <v>547.82000000000005</v>
      </c>
      <c r="J55" s="40">
        <v>0</v>
      </c>
      <c r="K55" s="48"/>
      <c r="L55" s="43" t="s">
        <v>886</v>
      </c>
      <c r="M55" s="43" t="s">
        <v>499</v>
      </c>
      <c r="N55" s="40"/>
      <c r="O55" s="76">
        <v>42495</v>
      </c>
      <c r="P55" s="2" t="s">
        <v>808</v>
      </c>
      <c r="Q55" s="43" t="s">
        <v>26</v>
      </c>
      <c r="R55" s="17">
        <v>0.52</v>
      </c>
      <c r="S55" s="43" t="s">
        <v>925</v>
      </c>
      <c r="T55" s="40"/>
      <c r="U55" s="40"/>
    </row>
    <row r="56" spans="1:21" s="5" customFormat="1" ht="105" x14ac:dyDescent="0.25">
      <c r="A56" s="48"/>
      <c r="B56" s="48"/>
      <c r="C56" s="48"/>
      <c r="D56" s="43" t="s">
        <v>706</v>
      </c>
      <c r="E56" s="40">
        <v>6000.4</v>
      </c>
      <c r="F56" s="40">
        <v>0</v>
      </c>
      <c r="G56" s="40">
        <v>4</v>
      </c>
      <c r="H56" s="40">
        <v>1</v>
      </c>
      <c r="I56" s="40">
        <v>295.68</v>
      </c>
      <c r="J56" s="40">
        <v>2.73</v>
      </c>
      <c r="K56" s="48"/>
      <c r="L56" s="43" t="s">
        <v>497</v>
      </c>
      <c r="M56" s="43" t="s">
        <v>1051</v>
      </c>
      <c r="N56" s="43"/>
      <c r="O56" s="76">
        <v>42180</v>
      </c>
      <c r="P56" s="2" t="s">
        <v>807</v>
      </c>
      <c r="Q56" s="43" t="s">
        <v>26</v>
      </c>
      <c r="R56" s="17">
        <v>1</v>
      </c>
      <c r="S56" s="43"/>
      <c r="T56" s="43" t="s">
        <v>707</v>
      </c>
      <c r="U56" s="36" t="s">
        <v>802</v>
      </c>
    </row>
    <row r="57" spans="1:21" s="5" customFormat="1" ht="120" x14ac:dyDescent="0.25">
      <c r="A57" s="49"/>
      <c r="B57" s="49"/>
      <c r="C57" s="49"/>
      <c r="D57" s="43" t="s">
        <v>434</v>
      </c>
      <c r="E57" s="40">
        <v>9297.7000000000007</v>
      </c>
      <c r="F57" s="40">
        <f>526.4</f>
        <v>526.4</v>
      </c>
      <c r="G57" s="40">
        <v>3</v>
      </c>
      <c r="H57" s="40">
        <v>0</v>
      </c>
      <c r="I57" s="40">
        <v>578.41499999999996</v>
      </c>
      <c r="J57" s="40">
        <v>0</v>
      </c>
      <c r="K57" s="49"/>
      <c r="L57" s="43" t="s">
        <v>435</v>
      </c>
      <c r="M57" s="43" t="s">
        <v>433</v>
      </c>
      <c r="N57" s="40"/>
      <c r="O57" s="76">
        <v>42531</v>
      </c>
      <c r="P57" s="2" t="s">
        <v>808</v>
      </c>
      <c r="Q57" s="43" t="s">
        <v>26</v>
      </c>
      <c r="R57" s="17">
        <v>0.61</v>
      </c>
      <c r="S57" s="43"/>
      <c r="T57" s="40"/>
      <c r="U57" s="37"/>
    </row>
    <row r="58" spans="1:21" s="5" customFormat="1" ht="105" customHeight="1" x14ac:dyDescent="0.25">
      <c r="A58" s="47">
        <v>17</v>
      </c>
      <c r="B58" s="47" t="s">
        <v>228</v>
      </c>
      <c r="C58" s="47" t="s">
        <v>937</v>
      </c>
      <c r="D58" s="43" t="s">
        <v>230</v>
      </c>
      <c r="E58" s="43">
        <v>4015.5</v>
      </c>
      <c r="F58" s="43">
        <v>0</v>
      </c>
      <c r="G58" s="43">
        <v>6</v>
      </c>
      <c r="H58" s="43">
        <v>6</v>
      </c>
      <c r="I58" s="43">
        <v>11.88</v>
      </c>
      <c r="J58" s="43">
        <v>11.88</v>
      </c>
      <c r="K58" s="47">
        <f>9.44+11.69+0.6+21.34</f>
        <v>43.07</v>
      </c>
      <c r="L58" s="43" t="s">
        <v>475</v>
      </c>
      <c r="M58" s="43" t="s">
        <v>476</v>
      </c>
      <c r="N58" s="43"/>
      <c r="O58" s="2">
        <v>42332</v>
      </c>
      <c r="P58" s="2" t="s">
        <v>340</v>
      </c>
      <c r="Q58" s="43" t="s">
        <v>29</v>
      </c>
      <c r="R58" s="43">
        <v>10.6</v>
      </c>
      <c r="S58" s="43"/>
      <c r="T58" s="43"/>
      <c r="U58" s="30"/>
    </row>
    <row r="59" spans="1:21" s="5" customFormat="1" ht="135" x14ac:dyDescent="0.25">
      <c r="A59" s="49"/>
      <c r="B59" s="49"/>
      <c r="C59" s="49"/>
      <c r="D59" s="43" t="s">
        <v>474</v>
      </c>
      <c r="E59" s="43">
        <v>2893.85</v>
      </c>
      <c r="F59" s="43">
        <f>192.49+569.15</f>
        <v>761.64</v>
      </c>
      <c r="G59" s="43">
        <v>48</v>
      </c>
      <c r="H59" s="43">
        <f>28+6</f>
        <v>34</v>
      </c>
      <c r="I59" s="43">
        <v>141.91</v>
      </c>
      <c r="J59" s="43">
        <v>95.978999999999999</v>
      </c>
      <c r="K59" s="49"/>
      <c r="L59" s="43" t="s">
        <v>229</v>
      </c>
      <c r="M59" s="43" t="s">
        <v>471</v>
      </c>
      <c r="N59" s="43" t="s">
        <v>472</v>
      </c>
      <c r="O59" s="2">
        <v>41780</v>
      </c>
      <c r="P59" s="2" t="s">
        <v>14</v>
      </c>
      <c r="Q59" s="43" t="s">
        <v>473</v>
      </c>
      <c r="R59" s="77">
        <v>1.0209999999999999</v>
      </c>
      <c r="S59" s="43"/>
      <c r="T59" s="43" t="s">
        <v>867</v>
      </c>
      <c r="U59" s="43"/>
    </row>
    <row r="60" spans="1:21" s="5" customFormat="1" ht="150" x14ac:dyDescent="0.25">
      <c r="A60" s="50">
        <v>18</v>
      </c>
      <c r="B60" s="47" t="s">
        <v>396</v>
      </c>
      <c r="C60" s="47" t="s">
        <v>895</v>
      </c>
      <c r="D60" s="43" t="s">
        <v>115</v>
      </c>
      <c r="E60" s="43">
        <v>3627.7</v>
      </c>
      <c r="F60" s="43">
        <v>2702.9</v>
      </c>
      <c r="G60" s="43">
        <v>155</v>
      </c>
      <c r="H60" s="43">
        <v>151</v>
      </c>
      <c r="I60" s="43">
        <v>245.79599999999999</v>
      </c>
      <c r="J60" s="43">
        <v>240.696</v>
      </c>
      <c r="K60" s="47">
        <f>14.906+13.814+15.93+14.121</f>
        <v>58.771000000000001</v>
      </c>
      <c r="L60" s="43" t="s">
        <v>33</v>
      </c>
      <c r="M60" s="43" t="s">
        <v>116</v>
      </c>
      <c r="N60" s="43" t="s">
        <v>13</v>
      </c>
      <c r="O60" s="2">
        <v>41272</v>
      </c>
      <c r="P60" s="5" t="s">
        <v>76</v>
      </c>
      <c r="Q60" s="43" t="s">
        <v>77</v>
      </c>
      <c r="R60" s="43" t="s">
        <v>26</v>
      </c>
      <c r="S60" s="17"/>
      <c r="T60" s="43" t="s">
        <v>95</v>
      </c>
      <c r="U60" s="30"/>
    </row>
    <row r="61" spans="1:21" s="5" customFormat="1" ht="165" x14ac:dyDescent="0.25">
      <c r="A61" s="50"/>
      <c r="B61" s="49"/>
      <c r="C61" s="49"/>
      <c r="D61" s="43" t="s">
        <v>665</v>
      </c>
      <c r="E61" s="43">
        <v>4134.6000000000004</v>
      </c>
      <c r="F61" s="43">
        <f>410.5+131</f>
        <v>541.5</v>
      </c>
      <c r="G61" s="43">
        <v>65</v>
      </c>
      <c r="H61" s="43">
        <v>62</v>
      </c>
      <c r="I61" s="43">
        <v>211.35400000000001</v>
      </c>
      <c r="J61" s="43">
        <v>207.589</v>
      </c>
      <c r="K61" s="49"/>
      <c r="L61" s="43" t="s">
        <v>34</v>
      </c>
      <c r="M61" s="43" t="s">
        <v>113</v>
      </c>
      <c r="N61" s="43"/>
      <c r="O61" s="2">
        <v>41828</v>
      </c>
      <c r="P61" s="2" t="s">
        <v>340</v>
      </c>
      <c r="Q61" s="43" t="s">
        <v>114</v>
      </c>
      <c r="R61" s="43" t="s">
        <v>26</v>
      </c>
      <c r="S61" s="17"/>
      <c r="T61" s="43"/>
      <c r="U61" s="29"/>
    </row>
    <row r="62" spans="1:21" s="5" customFormat="1" ht="90" customHeight="1" x14ac:dyDescent="0.25">
      <c r="A62" s="78">
        <v>19</v>
      </c>
      <c r="B62" s="78" t="s">
        <v>207</v>
      </c>
      <c r="C62" s="54" t="s">
        <v>960</v>
      </c>
      <c r="D62" s="43" t="s">
        <v>208</v>
      </c>
      <c r="E62" s="43">
        <v>2274.5</v>
      </c>
      <c r="F62" s="43">
        <v>1360.6</v>
      </c>
      <c r="G62" s="43">
        <v>53</v>
      </c>
      <c r="H62" s="43">
        <v>53</v>
      </c>
      <c r="I62" s="43">
        <v>282.33199999999999</v>
      </c>
      <c r="J62" s="43">
        <v>282.33199999999999</v>
      </c>
      <c r="K62" s="47">
        <f>19.9+48.4+70+101</f>
        <v>239.3</v>
      </c>
      <c r="L62" s="43" t="s">
        <v>209</v>
      </c>
      <c r="M62" s="43" t="s">
        <v>210</v>
      </c>
      <c r="N62" s="43"/>
      <c r="O62" s="2">
        <v>41613</v>
      </c>
      <c r="P62" s="2" t="s">
        <v>153</v>
      </c>
      <c r="Q62" s="43" t="s">
        <v>29</v>
      </c>
      <c r="R62" s="43" t="s">
        <v>26</v>
      </c>
      <c r="S62" s="43"/>
      <c r="T62" s="43" t="s">
        <v>961</v>
      </c>
      <c r="U62" s="43"/>
    </row>
    <row r="63" spans="1:21" s="5" customFormat="1" ht="90" x14ac:dyDescent="0.25">
      <c r="A63" s="78"/>
      <c r="B63" s="78"/>
      <c r="C63" s="55"/>
      <c r="D63" s="43" t="s">
        <v>406</v>
      </c>
      <c r="E63" s="47">
        <v>21429</v>
      </c>
      <c r="F63" s="47">
        <v>2745</v>
      </c>
      <c r="G63" s="43">
        <v>78</v>
      </c>
      <c r="H63" s="43" t="s">
        <v>26</v>
      </c>
      <c r="I63" s="43">
        <v>210.81899999999999</v>
      </c>
      <c r="J63" s="43" t="s">
        <v>26</v>
      </c>
      <c r="K63" s="48"/>
      <c r="L63" s="47" t="s">
        <v>51</v>
      </c>
      <c r="M63" s="43" t="s">
        <v>212</v>
      </c>
      <c r="N63" s="43"/>
      <c r="O63" s="2">
        <v>41774</v>
      </c>
      <c r="P63" s="2" t="s">
        <v>340</v>
      </c>
      <c r="Q63" s="43" t="s">
        <v>21</v>
      </c>
      <c r="R63" s="43" t="s">
        <v>26</v>
      </c>
      <c r="S63" s="43"/>
      <c r="T63" s="36"/>
      <c r="U63" s="43"/>
    </row>
    <row r="64" spans="1:21" s="5" customFormat="1" ht="90" x14ac:dyDescent="0.25">
      <c r="A64" s="78"/>
      <c r="B64" s="78"/>
      <c r="C64" s="55"/>
      <c r="D64" s="43" t="s">
        <v>407</v>
      </c>
      <c r="E64" s="49"/>
      <c r="F64" s="49"/>
      <c r="G64" s="43">
        <v>30</v>
      </c>
      <c r="H64" s="43" t="s">
        <v>26</v>
      </c>
      <c r="I64" s="43">
        <v>95.012</v>
      </c>
      <c r="J64" s="43" t="s">
        <v>26</v>
      </c>
      <c r="K64" s="48"/>
      <c r="L64" s="48"/>
      <c r="M64" s="36" t="s">
        <v>213</v>
      </c>
      <c r="N64" s="36" t="s">
        <v>863</v>
      </c>
      <c r="O64" s="2">
        <v>41842</v>
      </c>
      <c r="P64" s="2" t="s">
        <v>809</v>
      </c>
      <c r="Q64" s="43" t="s">
        <v>21</v>
      </c>
      <c r="R64" s="43" t="s">
        <v>26</v>
      </c>
      <c r="S64" s="43"/>
      <c r="T64" s="43"/>
      <c r="U64" s="28"/>
    </row>
    <row r="65" spans="1:21" s="5" customFormat="1" ht="75" x14ac:dyDescent="0.25">
      <c r="A65" s="78"/>
      <c r="B65" s="78"/>
      <c r="C65" s="55"/>
      <c r="D65" s="43" t="s">
        <v>403</v>
      </c>
      <c r="E65" s="36">
        <v>0</v>
      </c>
      <c r="F65" s="36">
        <f>922.4+913.17+909.43</f>
        <v>2745</v>
      </c>
      <c r="G65" s="43">
        <v>1</v>
      </c>
      <c r="H65" s="43" t="s">
        <v>26</v>
      </c>
      <c r="I65" s="43">
        <v>43.652999999999999</v>
      </c>
      <c r="J65" s="43" t="s">
        <v>26</v>
      </c>
      <c r="K65" s="48"/>
      <c r="L65" s="48"/>
      <c r="M65" s="35" t="s">
        <v>405</v>
      </c>
      <c r="N65" s="35" t="s">
        <v>864</v>
      </c>
      <c r="O65" s="9">
        <v>42510</v>
      </c>
      <c r="P65" s="9" t="s">
        <v>799</v>
      </c>
      <c r="Q65" s="34" t="s">
        <v>21</v>
      </c>
      <c r="R65" s="34" t="s">
        <v>26</v>
      </c>
      <c r="S65" s="34"/>
      <c r="T65" s="34"/>
      <c r="U65" s="28"/>
    </row>
    <row r="66" spans="1:21" s="5" customFormat="1" ht="180" x14ac:dyDescent="0.25">
      <c r="A66" s="78"/>
      <c r="B66" s="78"/>
      <c r="C66" s="56"/>
      <c r="D66" s="43" t="s">
        <v>402</v>
      </c>
      <c r="E66" s="43">
        <v>2853.86</v>
      </c>
      <c r="F66" s="43">
        <v>0</v>
      </c>
      <c r="G66" s="43">
        <v>35</v>
      </c>
      <c r="H66" s="43"/>
      <c r="I66" s="43">
        <v>56.374000000000002</v>
      </c>
      <c r="J66" s="43"/>
      <c r="K66" s="49"/>
      <c r="L66" s="43" t="s">
        <v>521</v>
      </c>
      <c r="M66" s="43" t="s">
        <v>211</v>
      </c>
      <c r="N66" s="43" t="s">
        <v>214</v>
      </c>
      <c r="O66" s="2">
        <v>41791</v>
      </c>
      <c r="P66" s="2" t="s">
        <v>153</v>
      </c>
      <c r="Q66" s="43" t="s">
        <v>21</v>
      </c>
      <c r="R66" s="43" t="s">
        <v>26</v>
      </c>
      <c r="S66" s="43" t="s">
        <v>782</v>
      </c>
      <c r="T66" s="43"/>
      <c r="U66" s="43"/>
    </row>
    <row r="67" spans="1:21" s="5" customFormat="1" ht="210" x14ac:dyDescent="0.25">
      <c r="A67" s="43">
        <v>20</v>
      </c>
      <c r="B67" s="43" t="s">
        <v>192</v>
      </c>
      <c r="C67" s="43"/>
      <c r="D67" s="43" t="s">
        <v>189</v>
      </c>
      <c r="E67" s="43">
        <v>13611</v>
      </c>
      <c r="F67" s="43">
        <v>2728.2</v>
      </c>
      <c r="G67" s="43">
        <v>323</v>
      </c>
      <c r="H67" s="43">
        <v>321</v>
      </c>
      <c r="I67" s="43">
        <v>509.7</v>
      </c>
      <c r="J67" s="43">
        <v>464.4</v>
      </c>
      <c r="K67" s="43">
        <f>0</f>
        <v>0</v>
      </c>
      <c r="L67" s="43" t="s">
        <v>193</v>
      </c>
      <c r="M67" s="43" t="s">
        <v>191</v>
      </c>
      <c r="N67" s="43" t="s">
        <v>190</v>
      </c>
      <c r="O67" s="2">
        <v>41488</v>
      </c>
      <c r="P67" s="2"/>
      <c r="Q67" s="2" t="s">
        <v>29</v>
      </c>
      <c r="R67" s="43">
        <v>45</v>
      </c>
      <c r="S67" s="43"/>
      <c r="T67" s="43" t="s">
        <v>554</v>
      </c>
      <c r="U67" s="66"/>
    </row>
    <row r="68" spans="1:21" s="5" customFormat="1" ht="105" x14ac:dyDescent="0.25">
      <c r="A68" s="43">
        <v>21</v>
      </c>
      <c r="B68" s="43" t="s">
        <v>410</v>
      </c>
      <c r="C68" s="43"/>
      <c r="D68" s="43" t="s">
        <v>738</v>
      </c>
      <c r="E68" s="43">
        <v>4889.32</v>
      </c>
      <c r="F68" s="43">
        <v>713.68</v>
      </c>
      <c r="G68" s="43">
        <v>88</v>
      </c>
      <c r="H68" s="43" t="s">
        <v>26</v>
      </c>
      <c r="I68" s="43">
        <v>238</v>
      </c>
      <c r="J68" s="43" t="s">
        <v>26</v>
      </c>
      <c r="K68" s="43">
        <f>0</f>
        <v>0</v>
      </c>
      <c r="L68" s="43" t="s">
        <v>40</v>
      </c>
      <c r="M68" s="43" t="s">
        <v>198</v>
      </c>
      <c r="N68" s="43"/>
      <c r="O68" s="2">
        <v>41635</v>
      </c>
      <c r="P68" s="2" t="s">
        <v>792</v>
      </c>
      <c r="Q68" s="43" t="s">
        <v>29</v>
      </c>
      <c r="R68" s="17">
        <v>1</v>
      </c>
      <c r="S68" s="43"/>
      <c r="T68" s="43" t="s">
        <v>199</v>
      </c>
      <c r="U68" s="66" t="s">
        <v>812</v>
      </c>
    </row>
    <row r="69" spans="1:21" s="5" customFormat="1" ht="105" x14ac:dyDescent="0.25">
      <c r="A69" s="47">
        <v>22</v>
      </c>
      <c r="B69" s="47" t="s">
        <v>283</v>
      </c>
      <c r="C69" s="47" t="s">
        <v>921</v>
      </c>
      <c r="D69" s="43" t="s">
        <v>289</v>
      </c>
      <c r="E69" s="43">
        <v>2596.64</v>
      </c>
      <c r="F69" s="43">
        <v>525.92999999999995</v>
      </c>
      <c r="G69" s="43">
        <v>41</v>
      </c>
      <c r="H69" s="43" t="s">
        <v>26</v>
      </c>
      <c r="I69" s="43">
        <v>121.41800000000001</v>
      </c>
      <c r="J69" s="43" t="s">
        <v>26</v>
      </c>
      <c r="K69" s="47">
        <f>58.75+83.33+52.97+50.07</f>
        <v>245.11999999999998</v>
      </c>
      <c r="L69" s="43" t="s">
        <v>291</v>
      </c>
      <c r="M69" s="43" t="s">
        <v>290</v>
      </c>
      <c r="N69" s="43"/>
      <c r="O69" s="2">
        <v>42254</v>
      </c>
      <c r="P69" s="2" t="s">
        <v>327</v>
      </c>
      <c r="Q69" s="43" t="s">
        <v>26</v>
      </c>
      <c r="R69" s="17">
        <v>0.5</v>
      </c>
      <c r="S69" s="43"/>
      <c r="T69" s="43"/>
      <c r="U69" s="34"/>
    </row>
    <row r="70" spans="1:21" s="5" customFormat="1" ht="105" x14ac:dyDescent="0.25">
      <c r="A70" s="48"/>
      <c r="B70" s="48"/>
      <c r="C70" s="48"/>
      <c r="D70" s="43" t="s">
        <v>287</v>
      </c>
      <c r="E70" s="43">
        <v>1482.5</v>
      </c>
      <c r="F70" s="43">
        <v>0</v>
      </c>
      <c r="G70" s="43">
        <v>4</v>
      </c>
      <c r="H70" s="43" t="s">
        <v>26</v>
      </c>
      <c r="I70" s="43">
        <v>34.194000000000003</v>
      </c>
      <c r="J70" s="43" t="s">
        <v>26</v>
      </c>
      <c r="K70" s="48"/>
      <c r="L70" s="43" t="s">
        <v>292</v>
      </c>
      <c r="M70" s="43" t="s">
        <v>288</v>
      </c>
      <c r="N70" s="43"/>
      <c r="O70" s="2">
        <v>42075</v>
      </c>
      <c r="P70" s="2" t="s">
        <v>14</v>
      </c>
      <c r="Q70" s="43" t="s">
        <v>29</v>
      </c>
      <c r="R70" s="17">
        <v>1</v>
      </c>
      <c r="S70" s="43"/>
      <c r="T70" s="43" t="s">
        <v>532</v>
      </c>
      <c r="U70" s="35" t="s">
        <v>800</v>
      </c>
    </row>
    <row r="71" spans="1:21" s="5" customFormat="1" ht="105" x14ac:dyDescent="0.25">
      <c r="A71" s="48"/>
      <c r="B71" s="48"/>
      <c r="C71" s="48"/>
      <c r="D71" s="43" t="s">
        <v>284</v>
      </c>
      <c r="E71" s="43">
        <v>6312.96</v>
      </c>
      <c r="F71" s="43">
        <v>571.69000000000005</v>
      </c>
      <c r="G71" s="43">
        <v>93</v>
      </c>
      <c r="H71" s="43" t="s">
        <v>26</v>
      </c>
      <c r="I71" s="43">
        <v>254.59</v>
      </c>
      <c r="J71" s="43" t="s">
        <v>26</v>
      </c>
      <c r="K71" s="48"/>
      <c r="L71" s="43" t="s">
        <v>293</v>
      </c>
      <c r="M71" s="43" t="s">
        <v>285</v>
      </c>
      <c r="N71" s="43"/>
      <c r="O71" s="2">
        <v>41620</v>
      </c>
      <c r="P71" s="2" t="s">
        <v>153</v>
      </c>
      <c r="Q71" s="43" t="s">
        <v>29</v>
      </c>
      <c r="R71" s="17">
        <v>0.5</v>
      </c>
      <c r="S71" s="43" t="s">
        <v>568</v>
      </c>
      <c r="T71" s="43" t="s">
        <v>922</v>
      </c>
      <c r="U71" s="35"/>
    </row>
    <row r="72" spans="1:21" s="5" customFormat="1" ht="120" x14ac:dyDescent="0.25">
      <c r="A72" s="48"/>
      <c r="B72" s="48"/>
      <c r="C72" s="48"/>
      <c r="D72" s="43" t="s">
        <v>565</v>
      </c>
      <c r="E72" s="43">
        <v>2134.9499999999998</v>
      </c>
      <c r="F72" s="43">
        <v>392.41</v>
      </c>
      <c r="G72" s="43">
        <v>5</v>
      </c>
      <c r="H72" s="43" t="s">
        <v>26</v>
      </c>
      <c r="I72" s="43">
        <v>14.654999999999999</v>
      </c>
      <c r="J72" s="43" t="s">
        <v>26</v>
      </c>
      <c r="K72" s="48"/>
      <c r="L72" s="43" t="s">
        <v>566</v>
      </c>
      <c r="M72" s="43" t="s">
        <v>564</v>
      </c>
      <c r="N72" s="43"/>
      <c r="O72" s="2">
        <v>42698</v>
      </c>
      <c r="P72" s="2"/>
      <c r="Q72" s="43" t="s">
        <v>573</v>
      </c>
      <c r="R72" s="43"/>
      <c r="S72" s="43"/>
      <c r="T72" s="43"/>
      <c r="U72" s="35"/>
    </row>
    <row r="73" spans="1:21" s="5" customFormat="1" ht="105" x14ac:dyDescent="0.25">
      <c r="A73" s="48"/>
      <c r="B73" s="48"/>
      <c r="C73" s="48"/>
      <c r="D73" s="43" t="s">
        <v>286</v>
      </c>
      <c r="E73" s="34">
        <v>3982</v>
      </c>
      <c r="F73" s="34">
        <v>281.36</v>
      </c>
      <c r="G73" s="43">
        <v>38</v>
      </c>
      <c r="H73" s="43" t="s">
        <v>26</v>
      </c>
      <c r="I73" s="43">
        <v>91.784000000000006</v>
      </c>
      <c r="J73" s="34" t="s">
        <v>26</v>
      </c>
      <c r="K73" s="48"/>
      <c r="L73" s="43" t="s">
        <v>293</v>
      </c>
      <c r="M73" s="34" t="s">
        <v>489</v>
      </c>
      <c r="N73" s="43"/>
      <c r="O73" s="2">
        <v>41926</v>
      </c>
      <c r="P73" s="2" t="s">
        <v>327</v>
      </c>
      <c r="Q73" s="43" t="s">
        <v>26</v>
      </c>
      <c r="R73" s="36"/>
      <c r="S73" s="36"/>
      <c r="T73" s="43"/>
      <c r="U73" s="36"/>
    </row>
    <row r="74" spans="1:21" s="5" customFormat="1" ht="105" x14ac:dyDescent="0.25">
      <c r="A74" s="49"/>
      <c r="B74" s="49"/>
      <c r="C74" s="49"/>
      <c r="D74" s="43" t="s">
        <v>923</v>
      </c>
      <c r="E74" s="34">
        <v>4640</v>
      </c>
      <c r="F74" s="34">
        <v>423</v>
      </c>
      <c r="G74" s="43">
        <v>2</v>
      </c>
      <c r="H74" s="43" t="s">
        <v>26</v>
      </c>
      <c r="I74" s="43">
        <v>0</v>
      </c>
      <c r="J74" s="34" t="s">
        <v>26</v>
      </c>
      <c r="K74" s="49"/>
      <c r="L74" s="43" t="s">
        <v>293</v>
      </c>
      <c r="M74" s="34" t="s">
        <v>924</v>
      </c>
      <c r="N74" s="43"/>
      <c r="O74" s="2">
        <v>42720</v>
      </c>
      <c r="P74" s="2" t="s">
        <v>327</v>
      </c>
      <c r="Q74" s="43" t="s">
        <v>26</v>
      </c>
      <c r="R74" s="36"/>
      <c r="S74" s="36"/>
      <c r="T74" s="43"/>
      <c r="U74" s="36"/>
    </row>
    <row r="75" spans="1:21" s="5" customFormat="1" ht="165" customHeight="1" x14ac:dyDescent="0.25">
      <c r="A75" s="79">
        <v>23</v>
      </c>
      <c r="B75" s="47" t="s">
        <v>398</v>
      </c>
      <c r="C75" s="47" t="s">
        <v>908</v>
      </c>
      <c r="D75" s="43" t="s">
        <v>747</v>
      </c>
      <c r="E75" s="43">
        <v>3074.05</v>
      </c>
      <c r="F75" s="43">
        <v>398.85</v>
      </c>
      <c r="G75" s="43">
        <v>46</v>
      </c>
      <c r="H75" s="43" t="s">
        <v>26</v>
      </c>
      <c r="I75" s="43">
        <v>161</v>
      </c>
      <c r="J75" s="43" t="s">
        <v>26</v>
      </c>
      <c r="K75" s="47">
        <f>73+69+80+94</f>
        <v>316</v>
      </c>
      <c r="L75" s="48" t="s">
        <v>749</v>
      </c>
      <c r="M75" s="43" t="s">
        <v>344</v>
      </c>
      <c r="N75" s="43" t="s">
        <v>74</v>
      </c>
      <c r="O75" s="2">
        <v>41586</v>
      </c>
      <c r="P75" s="2" t="s">
        <v>74</v>
      </c>
      <c r="Q75" s="43" t="s">
        <v>29</v>
      </c>
      <c r="R75" s="17">
        <v>1</v>
      </c>
      <c r="S75" s="43"/>
      <c r="T75" s="43" t="s">
        <v>531</v>
      </c>
      <c r="U75" s="43">
        <v>0</v>
      </c>
    </row>
    <row r="76" spans="1:21" s="5" customFormat="1" ht="180" x14ac:dyDescent="0.25">
      <c r="A76" s="80"/>
      <c r="B76" s="48"/>
      <c r="C76" s="48"/>
      <c r="D76" s="43" t="s">
        <v>748</v>
      </c>
      <c r="E76" s="43">
        <v>3420.2</v>
      </c>
      <c r="F76" s="43">
        <v>414.8</v>
      </c>
      <c r="G76" s="43">
        <v>57</v>
      </c>
      <c r="H76" s="43" t="s">
        <v>26</v>
      </c>
      <c r="I76" s="43">
        <v>178</v>
      </c>
      <c r="J76" s="43" t="s">
        <v>26</v>
      </c>
      <c r="K76" s="48"/>
      <c r="L76" s="48"/>
      <c r="M76" s="43" t="s">
        <v>345</v>
      </c>
      <c r="N76" s="43" t="s">
        <v>14</v>
      </c>
      <c r="O76" s="2">
        <v>41680</v>
      </c>
      <c r="P76" s="2" t="s">
        <v>14</v>
      </c>
      <c r="Q76" s="43" t="s">
        <v>26</v>
      </c>
      <c r="R76" s="17">
        <v>1</v>
      </c>
      <c r="S76" s="36"/>
      <c r="T76" s="43" t="s">
        <v>563</v>
      </c>
      <c r="U76" s="35">
        <v>0</v>
      </c>
    </row>
    <row r="77" spans="1:21" s="5" customFormat="1" ht="180" x14ac:dyDescent="0.25">
      <c r="A77" s="80"/>
      <c r="B77" s="48"/>
      <c r="C77" s="48"/>
      <c r="D77" s="43" t="s">
        <v>1053</v>
      </c>
      <c r="E77" s="43">
        <v>3237.15</v>
      </c>
      <c r="F77" s="43">
        <v>216.14</v>
      </c>
      <c r="G77" s="43">
        <v>46</v>
      </c>
      <c r="H77" s="43" t="s">
        <v>26</v>
      </c>
      <c r="I77" s="43">
        <v>126</v>
      </c>
      <c r="J77" s="43" t="s">
        <v>26</v>
      </c>
      <c r="K77" s="48"/>
      <c r="L77" s="48"/>
      <c r="M77" s="50" t="s">
        <v>179</v>
      </c>
      <c r="N77" s="43" t="s">
        <v>166</v>
      </c>
      <c r="O77" s="2">
        <v>41920</v>
      </c>
      <c r="P77" s="2" t="s">
        <v>166</v>
      </c>
      <c r="Q77" s="43" t="s">
        <v>26</v>
      </c>
      <c r="R77" s="43" t="s">
        <v>26</v>
      </c>
      <c r="S77" s="43"/>
      <c r="T77" s="10"/>
      <c r="U77" s="80"/>
    </row>
    <row r="78" spans="1:21" s="5" customFormat="1" ht="180" x14ac:dyDescent="0.25">
      <c r="A78" s="80"/>
      <c r="B78" s="48"/>
      <c r="C78" s="48"/>
      <c r="D78" s="43" t="s">
        <v>339</v>
      </c>
      <c r="E78" s="43">
        <v>3295.3</v>
      </c>
      <c r="F78" s="43">
        <v>215.94</v>
      </c>
      <c r="G78" s="43">
        <v>26</v>
      </c>
      <c r="H78" s="43" t="s">
        <v>26</v>
      </c>
      <c r="I78" s="43">
        <v>109</v>
      </c>
      <c r="J78" s="43" t="s">
        <v>26</v>
      </c>
      <c r="K78" s="48"/>
      <c r="L78" s="49"/>
      <c r="M78" s="50"/>
      <c r="N78" s="43" t="s">
        <v>340</v>
      </c>
      <c r="O78" s="2">
        <v>41785</v>
      </c>
      <c r="P78" s="2" t="s">
        <v>340</v>
      </c>
      <c r="Q78" s="43" t="s">
        <v>26</v>
      </c>
      <c r="R78" s="43" t="s">
        <v>26</v>
      </c>
      <c r="S78" s="36"/>
      <c r="T78" s="11"/>
      <c r="U78" s="10"/>
    </row>
    <row r="79" spans="1:21" s="5" customFormat="1" ht="180" x14ac:dyDescent="0.25">
      <c r="A79" s="80"/>
      <c r="B79" s="48"/>
      <c r="C79" s="48"/>
      <c r="D79" s="43" t="s">
        <v>1054</v>
      </c>
      <c r="E79" s="44">
        <v>4858.8500000000004</v>
      </c>
      <c r="F79" s="44">
        <v>356.85</v>
      </c>
      <c r="G79" s="43">
        <v>3</v>
      </c>
      <c r="H79" s="43" t="s">
        <v>26</v>
      </c>
      <c r="I79" s="43">
        <v>9</v>
      </c>
      <c r="J79" s="43" t="s">
        <v>26</v>
      </c>
      <c r="K79" s="48"/>
      <c r="L79" s="35" t="s">
        <v>909</v>
      </c>
      <c r="M79" s="36"/>
      <c r="N79" s="43"/>
      <c r="O79" s="2">
        <v>42653</v>
      </c>
      <c r="P79" s="2">
        <v>43435</v>
      </c>
      <c r="Q79" s="43" t="s">
        <v>26</v>
      </c>
      <c r="R79" s="43" t="s">
        <v>26</v>
      </c>
      <c r="S79" s="36"/>
      <c r="T79" s="11"/>
      <c r="U79" s="79"/>
    </row>
    <row r="80" spans="1:21" s="5" customFormat="1" ht="90" customHeight="1" x14ac:dyDescent="0.25">
      <c r="A80" s="80"/>
      <c r="B80" s="48"/>
      <c r="C80" s="48"/>
      <c r="D80" s="43" t="s">
        <v>342</v>
      </c>
      <c r="E80" s="36">
        <v>2713.2</v>
      </c>
      <c r="F80" s="36">
        <v>123.8</v>
      </c>
      <c r="G80" s="43">
        <v>21</v>
      </c>
      <c r="H80" s="43" t="s">
        <v>26</v>
      </c>
      <c r="I80" s="43">
        <v>106</v>
      </c>
      <c r="J80" s="36" t="s">
        <v>26</v>
      </c>
      <c r="K80" s="48"/>
      <c r="L80" s="47" t="s">
        <v>47</v>
      </c>
      <c r="M80" s="36" t="s">
        <v>341</v>
      </c>
      <c r="N80" s="43"/>
      <c r="O80" s="2">
        <v>41940</v>
      </c>
      <c r="P80" s="2" t="s">
        <v>14</v>
      </c>
      <c r="Q80" s="43" t="s">
        <v>26</v>
      </c>
      <c r="R80" s="17">
        <v>1</v>
      </c>
      <c r="S80" s="43" t="s">
        <v>634</v>
      </c>
      <c r="T80" s="43" t="s">
        <v>555</v>
      </c>
      <c r="U80" s="34">
        <v>0</v>
      </c>
    </row>
    <row r="81" spans="1:21" s="5" customFormat="1" ht="105" x14ac:dyDescent="0.25">
      <c r="A81" s="80"/>
      <c r="B81" s="48"/>
      <c r="C81" s="48"/>
      <c r="D81" s="43" t="s">
        <v>343</v>
      </c>
      <c r="E81" s="81">
        <v>2551.1</v>
      </c>
      <c r="F81" s="36">
        <v>1169.9000000000001</v>
      </c>
      <c r="G81" s="43">
        <v>17</v>
      </c>
      <c r="H81" s="43" t="s">
        <v>26</v>
      </c>
      <c r="I81" s="43">
        <v>106</v>
      </c>
      <c r="J81" s="36" t="s">
        <v>26</v>
      </c>
      <c r="K81" s="48"/>
      <c r="L81" s="48"/>
      <c r="M81" s="35" t="s">
        <v>346</v>
      </c>
      <c r="N81" s="43"/>
      <c r="O81" s="2">
        <v>42107</v>
      </c>
      <c r="P81" s="67" t="s">
        <v>166</v>
      </c>
      <c r="Q81" s="43" t="s">
        <v>26</v>
      </c>
      <c r="R81" s="17">
        <v>1</v>
      </c>
      <c r="S81" s="43"/>
      <c r="T81" s="43" t="s">
        <v>1052</v>
      </c>
      <c r="U81" s="43"/>
    </row>
    <row r="82" spans="1:21" s="5" customFormat="1" ht="90" x14ac:dyDescent="0.25">
      <c r="A82" s="80"/>
      <c r="B82" s="48"/>
      <c r="C82" s="48"/>
      <c r="D82" s="43" t="s">
        <v>399</v>
      </c>
      <c r="E82" s="43">
        <v>2524.1999999999998</v>
      </c>
      <c r="F82" s="82">
        <v>142</v>
      </c>
      <c r="G82" s="43">
        <v>17</v>
      </c>
      <c r="H82" s="43" t="s">
        <v>26</v>
      </c>
      <c r="I82" s="43">
        <v>60</v>
      </c>
      <c r="J82" s="36" t="s">
        <v>26</v>
      </c>
      <c r="K82" s="48"/>
      <c r="L82" s="49"/>
      <c r="M82" s="43" t="s">
        <v>400</v>
      </c>
      <c r="N82" s="43"/>
      <c r="O82" s="2">
        <v>42473</v>
      </c>
      <c r="P82" s="2" t="s">
        <v>327</v>
      </c>
      <c r="Q82" s="43" t="s">
        <v>26</v>
      </c>
      <c r="R82" s="43" t="s">
        <v>26</v>
      </c>
      <c r="S82" s="43"/>
      <c r="T82" s="43"/>
      <c r="U82" s="36"/>
    </row>
    <row r="83" spans="1:21" s="5" customFormat="1" ht="215.25" customHeight="1" x14ac:dyDescent="0.25">
      <c r="A83" s="80"/>
      <c r="B83" s="48"/>
      <c r="C83" s="48"/>
      <c r="D83" s="43" t="s">
        <v>1059</v>
      </c>
      <c r="E83" s="43">
        <v>4239.6499999999996</v>
      </c>
      <c r="F83" s="82">
        <f>104.8+24.3</f>
        <v>129.1</v>
      </c>
      <c r="G83" s="43">
        <v>1</v>
      </c>
      <c r="H83" s="43" t="s">
        <v>26</v>
      </c>
      <c r="I83" s="43">
        <v>2</v>
      </c>
      <c r="J83" s="36" t="s">
        <v>26</v>
      </c>
      <c r="K83" s="48"/>
      <c r="L83" s="43" t="s">
        <v>1057</v>
      </c>
      <c r="M83" s="43" t="s">
        <v>1058</v>
      </c>
      <c r="N83" s="43"/>
      <c r="O83" s="2">
        <v>42731</v>
      </c>
      <c r="P83" s="2">
        <v>43465</v>
      </c>
      <c r="Q83" s="43" t="s">
        <v>26</v>
      </c>
      <c r="R83" s="43" t="s">
        <v>26</v>
      </c>
      <c r="S83" s="43"/>
      <c r="T83" s="43"/>
      <c r="U83" s="36"/>
    </row>
    <row r="84" spans="1:21" s="5" customFormat="1" ht="150" x14ac:dyDescent="0.25">
      <c r="A84" s="50">
        <v>24</v>
      </c>
      <c r="B84" s="47" t="s">
        <v>347</v>
      </c>
      <c r="C84" s="47" t="s">
        <v>1026</v>
      </c>
      <c r="D84" s="43" t="s">
        <v>354</v>
      </c>
      <c r="E84" s="43">
        <v>2671.67</v>
      </c>
      <c r="F84" s="43">
        <v>234.24</v>
      </c>
      <c r="G84" s="43">
        <v>40</v>
      </c>
      <c r="H84" s="43">
        <v>36</v>
      </c>
      <c r="I84" s="43">
        <v>126.91</v>
      </c>
      <c r="J84" s="43">
        <v>111.47</v>
      </c>
      <c r="K84" s="47">
        <f>10.7+34.8+49.4+49.38</f>
        <v>144.28</v>
      </c>
      <c r="L84" s="43" t="s">
        <v>66</v>
      </c>
      <c r="M84" s="43" t="s">
        <v>348</v>
      </c>
      <c r="N84" s="43" t="s">
        <v>690</v>
      </c>
      <c r="O84" s="2">
        <v>41081</v>
      </c>
      <c r="P84" s="2" t="s">
        <v>1027</v>
      </c>
      <c r="Q84" s="43" t="s">
        <v>29</v>
      </c>
      <c r="R84" s="17">
        <v>0.98</v>
      </c>
      <c r="S84" s="43"/>
      <c r="T84" s="43"/>
      <c r="U84" s="43"/>
    </row>
    <row r="85" spans="1:21" s="5" customFormat="1" ht="135" x14ac:dyDescent="0.25">
      <c r="A85" s="50"/>
      <c r="B85" s="48"/>
      <c r="C85" s="48"/>
      <c r="D85" s="43" t="s">
        <v>349</v>
      </c>
      <c r="E85" s="43">
        <v>1249.4100000000001</v>
      </c>
      <c r="F85" s="43">
        <f>347.85+268.67</f>
        <v>616.52</v>
      </c>
      <c r="G85" s="43">
        <v>27</v>
      </c>
      <c r="H85" s="43">
        <v>26</v>
      </c>
      <c r="I85" s="43">
        <v>126.9</v>
      </c>
      <c r="J85" s="43">
        <v>128.69999999999999</v>
      </c>
      <c r="K85" s="48"/>
      <c r="L85" s="43" t="s">
        <v>49</v>
      </c>
      <c r="M85" s="43" t="s">
        <v>350</v>
      </c>
      <c r="N85" s="43" t="s">
        <v>687</v>
      </c>
      <c r="O85" s="2">
        <v>41255</v>
      </c>
      <c r="P85" s="2" t="s">
        <v>1027</v>
      </c>
      <c r="Q85" s="43" t="s">
        <v>29</v>
      </c>
      <c r="R85" s="77">
        <v>0.97899999999999998</v>
      </c>
      <c r="S85" s="43"/>
      <c r="T85" s="43"/>
      <c r="U85" s="43"/>
    </row>
    <row r="86" spans="1:21" s="5" customFormat="1" ht="90" x14ac:dyDescent="0.25">
      <c r="A86" s="50"/>
      <c r="B86" s="48"/>
      <c r="C86" s="48"/>
      <c r="D86" s="43" t="s">
        <v>746</v>
      </c>
      <c r="E86" s="43">
        <v>3275.05</v>
      </c>
      <c r="F86" s="43">
        <v>29</v>
      </c>
      <c r="G86" s="43">
        <v>49</v>
      </c>
      <c r="H86" s="43">
        <v>46</v>
      </c>
      <c r="I86" s="43">
        <v>147.94</v>
      </c>
      <c r="J86" s="43">
        <v>139.16</v>
      </c>
      <c r="K86" s="48"/>
      <c r="L86" s="43" t="s">
        <v>50</v>
      </c>
      <c r="M86" s="43" t="s">
        <v>351</v>
      </c>
      <c r="N86" s="43" t="s">
        <v>688</v>
      </c>
      <c r="O86" s="2">
        <v>41631</v>
      </c>
      <c r="P86" s="2" t="s">
        <v>1027</v>
      </c>
      <c r="Q86" s="43" t="s">
        <v>29</v>
      </c>
      <c r="R86" s="77">
        <v>0.65739999999999998</v>
      </c>
      <c r="S86" s="43"/>
      <c r="T86" s="43"/>
      <c r="U86" s="43"/>
    </row>
    <row r="87" spans="1:21" s="5" customFormat="1" ht="150" x14ac:dyDescent="0.25">
      <c r="A87" s="50"/>
      <c r="B87" s="48"/>
      <c r="C87" s="48"/>
      <c r="D87" s="43" t="s">
        <v>386</v>
      </c>
      <c r="E87" s="43">
        <v>2781.66</v>
      </c>
      <c r="F87" s="43">
        <v>0</v>
      </c>
      <c r="G87" s="43">
        <v>10</v>
      </c>
      <c r="H87" s="43">
        <v>6</v>
      </c>
      <c r="I87" s="43">
        <v>24.5</v>
      </c>
      <c r="J87" s="43">
        <v>15</v>
      </c>
      <c r="K87" s="48"/>
      <c r="L87" s="35" t="s">
        <v>440</v>
      </c>
      <c r="M87" s="35" t="s">
        <v>408</v>
      </c>
      <c r="N87" s="35" t="s">
        <v>439</v>
      </c>
      <c r="O87" s="83">
        <v>42548</v>
      </c>
      <c r="P87" s="83" t="s">
        <v>798</v>
      </c>
      <c r="Q87" s="35" t="s">
        <v>26</v>
      </c>
      <c r="R87" s="84">
        <v>0.1183</v>
      </c>
      <c r="S87" s="35"/>
      <c r="T87" s="35" t="s">
        <v>984</v>
      </c>
      <c r="U87" s="28"/>
    </row>
    <row r="88" spans="1:21" s="5" customFormat="1" ht="150" x14ac:dyDescent="0.25">
      <c r="A88" s="50"/>
      <c r="B88" s="48"/>
      <c r="C88" s="48"/>
      <c r="D88" s="43" t="s">
        <v>689</v>
      </c>
      <c r="E88" s="43">
        <v>2648.25</v>
      </c>
      <c r="F88" s="43"/>
      <c r="G88" s="43">
        <v>32</v>
      </c>
      <c r="H88" s="43">
        <v>22</v>
      </c>
      <c r="I88" s="43">
        <v>82.56</v>
      </c>
      <c r="J88" s="43">
        <v>55.56</v>
      </c>
      <c r="K88" s="49"/>
      <c r="L88" s="43" t="s">
        <v>352</v>
      </c>
      <c r="M88" s="43" t="s">
        <v>355</v>
      </c>
      <c r="N88" s="43" t="s">
        <v>327</v>
      </c>
      <c r="O88" s="2">
        <v>42388</v>
      </c>
      <c r="P88" s="2" t="s">
        <v>797</v>
      </c>
      <c r="Q88" s="43" t="s">
        <v>26</v>
      </c>
      <c r="R88" s="77">
        <v>0.25969999999999999</v>
      </c>
      <c r="S88" s="43"/>
      <c r="T88" s="43"/>
      <c r="U88" s="43"/>
    </row>
    <row r="89" spans="1:21" s="5" customFormat="1" ht="105" x14ac:dyDescent="0.25">
      <c r="A89" s="43">
        <v>25</v>
      </c>
      <c r="B89" s="43" t="s">
        <v>494</v>
      </c>
      <c r="C89" s="43" t="s">
        <v>899</v>
      </c>
      <c r="D89" s="43" t="s">
        <v>206</v>
      </c>
      <c r="E89" s="43">
        <v>11998</v>
      </c>
      <c r="F89" s="43">
        <v>1818.28</v>
      </c>
      <c r="G89" s="43">
        <v>44</v>
      </c>
      <c r="H89" s="43">
        <v>44</v>
      </c>
      <c r="I89" s="43">
        <v>132.94999999999999</v>
      </c>
      <c r="J89" s="43">
        <v>132.94999999999999</v>
      </c>
      <c r="K89" s="43">
        <f>30.44+30.23+20.16+22.53</f>
        <v>103.36</v>
      </c>
      <c r="L89" s="43" t="s">
        <v>205</v>
      </c>
      <c r="M89" s="43" t="s">
        <v>495</v>
      </c>
      <c r="N89" s="43"/>
      <c r="O89" s="2">
        <v>42254</v>
      </c>
      <c r="P89" s="2">
        <v>42825</v>
      </c>
      <c r="Q89" s="43" t="s">
        <v>26</v>
      </c>
      <c r="R89" s="43" t="s">
        <v>26</v>
      </c>
      <c r="S89" s="17"/>
      <c r="T89" s="43"/>
      <c r="U89" s="66"/>
    </row>
    <row r="90" spans="1:21" s="5" customFormat="1" ht="300.75" customHeight="1" x14ac:dyDescent="0.25">
      <c r="A90" s="34">
        <v>26</v>
      </c>
      <c r="B90" s="34" t="s">
        <v>195</v>
      </c>
      <c r="C90" s="34" t="s">
        <v>876</v>
      </c>
      <c r="D90" s="43" t="s">
        <v>196</v>
      </c>
      <c r="E90" s="43">
        <v>2478.9</v>
      </c>
      <c r="F90" s="43">
        <v>795.1</v>
      </c>
      <c r="G90" s="43">
        <v>56</v>
      </c>
      <c r="H90" s="43" t="s">
        <v>26</v>
      </c>
      <c r="I90" s="43">
        <v>180.255</v>
      </c>
      <c r="J90" s="43" t="s">
        <v>26</v>
      </c>
      <c r="K90" s="43">
        <f>0</f>
        <v>0</v>
      </c>
      <c r="L90" s="43" t="s">
        <v>52</v>
      </c>
      <c r="M90" s="43" t="s">
        <v>197</v>
      </c>
      <c r="N90" s="43" t="s">
        <v>76</v>
      </c>
      <c r="O90" s="2">
        <v>41807</v>
      </c>
      <c r="P90" s="2" t="s">
        <v>76</v>
      </c>
      <c r="Q90" s="43" t="s">
        <v>21</v>
      </c>
      <c r="R90" s="17">
        <v>1</v>
      </c>
      <c r="S90" s="43"/>
      <c r="T90" s="43" t="s">
        <v>80</v>
      </c>
      <c r="U90" s="66" t="s">
        <v>824</v>
      </c>
    </row>
    <row r="91" spans="1:21" s="5" customFormat="1" ht="90" x14ac:dyDescent="0.25">
      <c r="A91" s="43">
        <v>27</v>
      </c>
      <c r="B91" s="43" t="s">
        <v>326</v>
      </c>
      <c r="C91" s="43"/>
      <c r="D91" s="43" t="s">
        <v>105</v>
      </c>
      <c r="E91" s="43">
        <v>2123</v>
      </c>
      <c r="F91" s="43">
        <v>587.46</v>
      </c>
      <c r="G91" s="43">
        <v>29</v>
      </c>
      <c r="H91" s="43">
        <v>29</v>
      </c>
      <c r="I91" s="43">
        <v>112.3</v>
      </c>
      <c r="J91" s="43">
        <v>112.2</v>
      </c>
      <c r="K91" s="43">
        <f>0</f>
        <v>0</v>
      </c>
      <c r="L91" s="43" t="s">
        <v>31</v>
      </c>
      <c r="M91" s="43" t="s">
        <v>106</v>
      </c>
      <c r="N91" s="43" t="s">
        <v>76</v>
      </c>
      <c r="O91" s="2">
        <v>41751</v>
      </c>
      <c r="P91" s="2" t="s">
        <v>76</v>
      </c>
      <c r="Q91" s="43" t="s">
        <v>59</v>
      </c>
      <c r="R91" s="17">
        <v>1</v>
      </c>
      <c r="S91" s="43"/>
      <c r="T91" s="43" t="s">
        <v>81</v>
      </c>
      <c r="U91" s="66" t="s">
        <v>828</v>
      </c>
    </row>
    <row r="92" spans="1:21" s="5" customFormat="1" ht="135" x14ac:dyDescent="0.25">
      <c r="A92" s="36">
        <v>28</v>
      </c>
      <c r="B92" s="36" t="s">
        <v>413</v>
      </c>
      <c r="C92" s="36"/>
      <c r="D92" s="43" t="s">
        <v>323</v>
      </c>
      <c r="E92" s="43">
        <v>4295.8</v>
      </c>
      <c r="F92" s="43">
        <v>227.8</v>
      </c>
      <c r="G92" s="43">
        <v>114</v>
      </c>
      <c r="H92" s="43">
        <v>114</v>
      </c>
      <c r="I92" s="43">
        <v>215</v>
      </c>
      <c r="J92" s="43">
        <v>215</v>
      </c>
      <c r="K92" s="36">
        <f>7+0.5</f>
        <v>7.5</v>
      </c>
      <c r="L92" s="43" t="s">
        <v>56</v>
      </c>
      <c r="M92" s="43" t="s">
        <v>324</v>
      </c>
      <c r="N92" s="43" t="s">
        <v>74</v>
      </c>
      <c r="O92" s="2">
        <v>41416</v>
      </c>
      <c r="P92" s="2" t="s">
        <v>74</v>
      </c>
      <c r="Q92" s="43" t="s">
        <v>29</v>
      </c>
      <c r="R92" s="17">
        <v>1</v>
      </c>
      <c r="S92" s="43"/>
      <c r="T92" s="43" t="s">
        <v>325</v>
      </c>
      <c r="U92" s="28" t="s">
        <v>829</v>
      </c>
    </row>
    <row r="93" spans="1:21" s="5" customFormat="1" ht="105" x14ac:dyDescent="0.25">
      <c r="A93" s="47">
        <v>29</v>
      </c>
      <c r="B93" s="47" t="s">
        <v>174</v>
      </c>
      <c r="C93" s="47" t="s">
        <v>873</v>
      </c>
      <c r="D93" s="43" t="s">
        <v>138</v>
      </c>
      <c r="E93" s="43">
        <v>11742.39</v>
      </c>
      <c r="F93" s="43">
        <v>693.74</v>
      </c>
      <c r="G93" s="43">
        <v>106</v>
      </c>
      <c r="H93" s="43" t="s">
        <v>26</v>
      </c>
      <c r="I93" s="43">
        <v>473.08</v>
      </c>
      <c r="J93" s="43" t="s">
        <v>26</v>
      </c>
      <c r="K93" s="47">
        <f>51.86+54.64+80.87+111.2</f>
        <v>298.57</v>
      </c>
      <c r="L93" s="43" t="s">
        <v>177</v>
      </c>
      <c r="M93" s="43" t="s">
        <v>745</v>
      </c>
      <c r="N93" s="2">
        <v>42735</v>
      </c>
      <c r="O93" s="2">
        <v>42003</v>
      </c>
      <c r="P93" s="2" t="s">
        <v>830</v>
      </c>
      <c r="Q93" s="43" t="s">
        <v>26</v>
      </c>
      <c r="R93" s="17">
        <v>1</v>
      </c>
      <c r="S93" s="43"/>
      <c r="T93" s="43" t="s">
        <v>139</v>
      </c>
      <c r="U93" s="43" t="s">
        <v>153</v>
      </c>
    </row>
    <row r="94" spans="1:21" s="5" customFormat="1" ht="105" x14ac:dyDescent="0.25">
      <c r="A94" s="49"/>
      <c r="B94" s="49"/>
      <c r="C94" s="49"/>
      <c r="D94" s="43" t="s">
        <v>744</v>
      </c>
      <c r="E94" s="43">
        <v>11742.39</v>
      </c>
      <c r="F94" s="43">
        <v>693.74</v>
      </c>
      <c r="G94" s="43">
        <v>88</v>
      </c>
      <c r="H94" s="43" t="s">
        <v>26</v>
      </c>
      <c r="I94" s="69">
        <v>210.92</v>
      </c>
      <c r="J94" s="43" t="s">
        <v>26</v>
      </c>
      <c r="K94" s="49"/>
      <c r="L94" s="43" t="s">
        <v>176</v>
      </c>
      <c r="M94" s="43" t="s">
        <v>175</v>
      </c>
      <c r="N94" s="2">
        <v>42643</v>
      </c>
      <c r="O94" s="2">
        <v>42220</v>
      </c>
      <c r="P94" s="2" t="s">
        <v>807</v>
      </c>
      <c r="Q94" s="43" t="s">
        <v>26</v>
      </c>
      <c r="R94" s="17">
        <v>1</v>
      </c>
      <c r="S94" s="43"/>
      <c r="T94" s="43" t="s">
        <v>874</v>
      </c>
      <c r="U94" s="36"/>
    </row>
    <row r="95" spans="1:21" s="5" customFormat="1" ht="150" x14ac:dyDescent="0.25">
      <c r="A95" s="43">
        <v>30</v>
      </c>
      <c r="B95" s="43" t="s">
        <v>449</v>
      </c>
      <c r="C95" s="43" t="s">
        <v>1015</v>
      </c>
      <c r="D95" s="43" t="s">
        <v>450</v>
      </c>
      <c r="E95" s="43">
        <v>8848</v>
      </c>
      <c r="F95" s="43">
        <v>1055</v>
      </c>
      <c r="G95" s="43">
        <v>27</v>
      </c>
      <c r="H95" s="43">
        <v>26</v>
      </c>
      <c r="I95" s="43">
        <v>88.92</v>
      </c>
      <c r="J95" s="43">
        <v>63.84</v>
      </c>
      <c r="K95" s="43">
        <f>0+0+0</f>
        <v>0</v>
      </c>
      <c r="L95" s="43" t="s">
        <v>62</v>
      </c>
      <c r="M95" s="43" t="s">
        <v>369</v>
      </c>
      <c r="N95" s="43" t="s">
        <v>1038</v>
      </c>
      <c r="O95" s="2">
        <v>41360</v>
      </c>
      <c r="P95" s="2">
        <v>43100</v>
      </c>
      <c r="Q95" s="43" t="s">
        <v>26</v>
      </c>
      <c r="R95" s="43" t="s">
        <v>26</v>
      </c>
      <c r="S95" s="43"/>
      <c r="T95" s="43"/>
      <c r="U95" s="66"/>
    </row>
    <row r="96" spans="1:21" s="5" customFormat="1" ht="120" x14ac:dyDescent="0.25">
      <c r="A96" s="36">
        <v>31</v>
      </c>
      <c r="B96" s="34" t="s">
        <v>301</v>
      </c>
      <c r="C96" s="34"/>
      <c r="D96" s="43" t="s">
        <v>304</v>
      </c>
      <c r="E96" s="43">
        <v>1183.5999999999999</v>
      </c>
      <c r="F96" s="43">
        <v>772.1</v>
      </c>
      <c r="G96" s="43">
        <v>29</v>
      </c>
      <c r="H96" s="43">
        <v>25</v>
      </c>
      <c r="I96" s="43">
        <v>86.49</v>
      </c>
      <c r="J96" s="43">
        <v>74.88</v>
      </c>
      <c r="K96" s="43">
        <f>0.5+0.1</f>
        <v>0.6</v>
      </c>
      <c r="L96" s="43" t="s">
        <v>54</v>
      </c>
      <c r="M96" s="43" t="s">
        <v>302</v>
      </c>
      <c r="N96" s="43"/>
      <c r="O96" s="2">
        <v>41775</v>
      </c>
      <c r="P96" s="9" t="s">
        <v>74</v>
      </c>
      <c r="Q96" s="34" t="s">
        <v>55</v>
      </c>
      <c r="R96" s="43">
        <v>100</v>
      </c>
      <c r="S96" s="43"/>
      <c r="T96" s="43" t="s">
        <v>303</v>
      </c>
      <c r="U96" s="36" t="s">
        <v>829</v>
      </c>
    </row>
    <row r="97" spans="1:21" s="5" customFormat="1" ht="105" x14ac:dyDescent="0.25">
      <c r="A97" s="34">
        <v>32</v>
      </c>
      <c r="B97" s="34" t="s">
        <v>515</v>
      </c>
      <c r="C97" s="43"/>
      <c r="D97" s="43" t="s">
        <v>311</v>
      </c>
      <c r="E97" s="43">
        <v>4834.7</v>
      </c>
      <c r="F97" s="43">
        <f>506.5+298.3</f>
        <v>804.8</v>
      </c>
      <c r="G97" s="43">
        <v>101</v>
      </c>
      <c r="H97" s="43">
        <v>96</v>
      </c>
      <c r="I97" s="43">
        <v>229.37299999999999</v>
      </c>
      <c r="J97" s="43">
        <v>213.33</v>
      </c>
      <c r="K97" s="34">
        <v>7.6</v>
      </c>
      <c r="L97" s="43" t="s">
        <v>313</v>
      </c>
      <c r="M97" s="43" t="s">
        <v>310</v>
      </c>
      <c r="N97" s="2" t="s">
        <v>308</v>
      </c>
      <c r="O97" s="2">
        <v>42045</v>
      </c>
      <c r="P97" s="2" t="s">
        <v>308</v>
      </c>
      <c r="Q97" s="43" t="s">
        <v>19</v>
      </c>
      <c r="R97" s="43">
        <v>100</v>
      </c>
      <c r="S97" s="43"/>
      <c r="T97" s="43" t="s">
        <v>309</v>
      </c>
      <c r="U97" s="34" t="s">
        <v>833</v>
      </c>
    </row>
    <row r="98" spans="1:21" s="5" customFormat="1" ht="120" customHeight="1" x14ac:dyDescent="0.25">
      <c r="A98" s="47">
        <v>33</v>
      </c>
      <c r="B98" s="47" t="s">
        <v>627</v>
      </c>
      <c r="C98" s="47" t="s">
        <v>938</v>
      </c>
      <c r="D98" s="43" t="s">
        <v>543</v>
      </c>
      <c r="E98" s="43">
        <v>4918.8500000000004</v>
      </c>
      <c r="F98" s="43">
        <v>804.8</v>
      </c>
      <c r="G98" s="43">
        <v>86</v>
      </c>
      <c r="H98" s="43">
        <f>41+21</f>
        <v>62</v>
      </c>
      <c r="I98" s="43">
        <v>199.934</v>
      </c>
      <c r="J98" s="43">
        <v>146.46799999999999</v>
      </c>
      <c r="K98" s="47">
        <f>38.171+21.24+11.44+41.513</f>
        <v>112.364</v>
      </c>
      <c r="L98" s="43" t="s">
        <v>312</v>
      </c>
      <c r="M98" s="43" t="s">
        <v>298</v>
      </c>
      <c r="N98" s="43"/>
      <c r="O98" s="2">
        <v>42213</v>
      </c>
      <c r="P98" s="2" t="s">
        <v>166</v>
      </c>
      <c r="Q98" s="43" t="s">
        <v>544</v>
      </c>
      <c r="R98" s="43" t="s">
        <v>26</v>
      </c>
      <c r="S98" s="43" t="s">
        <v>781</v>
      </c>
      <c r="T98" s="43" t="s">
        <v>939</v>
      </c>
      <c r="U98" s="43"/>
    </row>
    <row r="99" spans="1:21" s="5" customFormat="1" ht="165" x14ac:dyDescent="0.25">
      <c r="A99" s="49"/>
      <c r="B99" s="49"/>
      <c r="C99" s="49"/>
      <c r="D99" s="43" t="s">
        <v>783</v>
      </c>
      <c r="E99" s="43">
        <v>6956.09</v>
      </c>
      <c r="F99" s="43">
        <v>917.26</v>
      </c>
      <c r="G99" s="43">
        <v>20</v>
      </c>
      <c r="H99" s="43">
        <v>8</v>
      </c>
      <c r="I99" s="43">
        <v>43.201999999999998</v>
      </c>
      <c r="J99" s="43">
        <v>15.754</v>
      </c>
      <c r="K99" s="49"/>
      <c r="L99" s="43" t="s">
        <v>546</v>
      </c>
      <c r="M99" s="43" t="s">
        <v>545</v>
      </c>
      <c r="N99" s="43"/>
      <c r="O99" s="2">
        <v>42655</v>
      </c>
      <c r="P99" s="2">
        <v>43282</v>
      </c>
      <c r="Q99" s="43" t="s">
        <v>93</v>
      </c>
      <c r="R99" s="43"/>
      <c r="S99" s="43"/>
      <c r="T99" s="43"/>
      <c r="U99" s="43"/>
    </row>
    <row r="100" spans="1:21" s="5" customFormat="1" ht="150" x14ac:dyDescent="0.25">
      <c r="A100" s="47">
        <v>34</v>
      </c>
      <c r="B100" s="47" t="s">
        <v>202</v>
      </c>
      <c r="C100" s="47" t="s">
        <v>1034</v>
      </c>
      <c r="D100" s="43" t="s">
        <v>203</v>
      </c>
      <c r="E100" s="43">
        <v>4606.16</v>
      </c>
      <c r="F100" s="43">
        <f>1257.7+690.35</f>
        <v>1948.0500000000002</v>
      </c>
      <c r="G100" s="43">
        <v>90</v>
      </c>
      <c r="H100" s="43">
        <v>81</v>
      </c>
      <c r="I100" s="43">
        <v>196.6</v>
      </c>
      <c r="J100" s="43">
        <v>175.9</v>
      </c>
      <c r="K100" s="47">
        <f>22+4+5+7</f>
        <v>38</v>
      </c>
      <c r="L100" s="43" t="s">
        <v>477</v>
      </c>
      <c r="M100" s="43" t="s">
        <v>478</v>
      </c>
      <c r="N100" s="43" t="s">
        <v>390</v>
      </c>
      <c r="O100" s="2">
        <v>41676</v>
      </c>
      <c r="P100" s="2" t="s">
        <v>14</v>
      </c>
      <c r="Q100" s="43" t="s">
        <v>26</v>
      </c>
      <c r="R100" s="17">
        <v>1</v>
      </c>
      <c r="S100" s="43"/>
      <c r="T100" s="43" t="s">
        <v>560</v>
      </c>
      <c r="U100" s="43" t="s">
        <v>153</v>
      </c>
    </row>
    <row r="101" spans="1:21" s="5" customFormat="1" ht="90" x14ac:dyDescent="0.25">
      <c r="A101" s="49"/>
      <c r="B101" s="49"/>
      <c r="C101" s="49"/>
      <c r="D101" s="43" t="s">
        <v>1035</v>
      </c>
      <c r="E101" s="43">
        <v>14173.72</v>
      </c>
      <c r="F101" s="43"/>
      <c r="G101" s="43">
        <v>7</v>
      </c>
      <c r="H101" s="43">
        <v>5</v>
      </c>
      <c r="I101" s="43">
        <v>14.8</v>
      </c>
      <c r="J101" s="34">
        <v>10.7</v>
      </c>
      <c r="K101" s="49"/>
      <c r="L101" s="43" t="s">
        <v>479</v>
      </c>
      <c r="M101" s="43" t="s">
        <v>832</v>
      </c>
      <c r="N101" s="43"/>
      <c r="O101" s="2">
        <v>42520</v>
      </c>
      <c r="P101" s="2" t="s">
        <v>327</v>
      </c>
      <c r="Q101" s="43" t="s">
        <v>625</v>
      </c>
      <c r="R101" s="43" t="s">
        <v>26</v>
      </c>
      <c r="S101" s="43"/>
      <c r="T101" s="43"/>
      <c r="U101" s="36"/>
    </row>
    <row r="102" spans="1:21" s="5" customFormat="1" ht="105" customHeight="1" x14ac:dyDescent="0.25">
      <c r="A102" s="47">
        <v>35</v>
      </c>
      <c r="B102" s="47" t="s">
        <v>574</v>
      </c>
      <c r="C102" s="47" t="s">
        <v>1001</v>
      </c>
      <c r="D102" s="43" t="s">
        <v>547</v>
      </c>
      <c r="E102" s="43">
        <v>4475.2</v>
      </c>
      <c r="F102" s="43">
        <v>1211.4000000000001</v>
      </c>
      <c r="G102" s="43">
        <v>69</v>
      </c>
      <c r="H102" s="43">
        <v>33</v>
      </c>
      <c r="I102" s="43">
        <v>92.4</v>
      </c>
      <c r="J102" s="43">
        <v>20.975999999999999</v>
      </c>
      <c r="K102" s="47">
        <f>10.7+0+9.5+13.2</f>
        <v>33.4</v>
      </c>
      <c r="L102" s="43" t="s">
        <v>45</v>
      </c>
      <c r="M102" s="43" t="s">
        <v>178</v>
      </c>
      <c r="N102" s="43" t="s">
        <v>524</v>
      </c>
      <c r="O102" s="2">
        <v>41893</v>
      </c>
      <c r="P102" s="2" t="s">
        <v>166</v>
      </c>
      <c r="Q102" s="43" t="s">
        <v>436</v>
      </c>
      <c r="R102" s="17">
        <v>1</v>
      </c>
      <c r="S102" s="43"/>
      <c r="T102" s="43" t="s">
        <v>985</v>
      </c>
      <c r="U102" s="43"/>
    </row>
    <row r="103" spans="1:21" s="5" customFormat="1" ht="150" x14ac:dyDescent="0.25">
      <c r="A103" s="49"/>
      <c r="B103" s="49"/>
      <c r="C103" s="49"/>
      <c r="D103" s="43" t="s">
        <v>770</v>
      </c>
      <c r="E103" s="43">
        <v>4512.3</v>
      </c>
      <c r="F103" s="43"/>
      <c r="G103" s="43">
        <v>2</v>
      </c>
      <c r="H103" s="43">
        <v>0</v>
      </c>
      <c r="I103" s="43">
        <v>5.8</v>
      </c>
      <c r="J103" s="43">
        <v>0</v>
      </c>
      <c r="K103" s="49"/>
      <c r="L103" s="43" t="s">
        <v>771</v>
      </c>
      <c r="M103" s="43" t="s">
        <v>438</v>
      </c>
      <c r="N103" s="43" t="s">
        <v>327</v>
      </c>
      <c r="O103" s="2">
        <v>42599</v>
      </c>
      <c r="P103" s="2" t="s">
        <v>718</v>
      </c>
      <c r="Q103" s="43" t="s">
        <v>1013</v>
      </c>
      <c r="R103" s="43" t="s">
        <v>26</v>
      </c>
      <c r="S103" s="43"/>
      <c r="T103" s="43"/>
      <c r="U103" s="43"/>
    </row>
    <row r="104" spans="1:21" s="5" customFormat="1" ht="90" x14ac:dyDescent="0.25">
      <c r="A104" s="48">
        <v>36</v>
      </c>
      <c r="B104" s="47" t="s">
        <v>504</v>
      </c>
      <c r="C104" s="47" t="s">
        <v>1008</v>
      </c>
      <c r="D104" s="43" t="s">
        <v>505</v>
      </c>
      <c r="E104" s="43">
        <v>1245.73</v>
      </c>
      <c r="F104" s="43">
        <v>1119.33</v>
      </c>
      <c r="G104" s="43">
        <v>1</v>
      </c>
      <c r="H104" s="43">
        <v>1</v>
      </c>
      <c r="I104" s="43">
        <v>2.8050000000000002</v>
      </c>
      <c r="J104" s="36">
        <v>2.8050000000000002</v>
      </c>
      <c r="K104" s="47">
        <f>1.9+1.4+0.993+0.722</f>
        <v>5.0150000000000006</v>
      </c>
      <c r="L104" s="47" t="s">
        <v>32</v>
      </c>
      <c r="M104" s="36" t="s">
        <v>335</v>
      </c>
      <c r="N104" s="10" t="s">
        <v>327</v>
      </c>
      <c r="O104" s="2">
        <v>41620</v>
      </c>
      <c r="P104" s="2" t="s">
        <v>327</v>
      </c>
      <c r="Q104" s="43" t="s">
        <v>26</v>
      </c>
      <c r="R104" s="85">
        <v>0.23</v>
      </c>
      <c r="S104" s="18"/>
      <c r="T104" s="43"/>
      <c r="U104" s="43"/>
    </row>
    <row r="105" spans="1:21" s="5" customFormat="1" ht="90" x14ac:dyDescent="0.25">
      <c r="A105" s="48"/>
      <c r="B105" s="48"/>
      <c r="C105" s="48"/>
      <c r="D105" s="43" t="s">
        <v>331</v>
      </c>
      <c r="E105" s="43">
        <v>1055.8</v>
      </c>
      <c r="F105" s="43">
        <v>584.77</v>
      </c>
      <c r="G105" s="43">
        <v>1</v>
      </c>
      <c r="H105" s="43">
        <v>1</v>
      </c>
      <c r="I105" s="43">
        <v>28.718</v>
      </c>
      <c r="J105" s="43">
        <v>28.718</v>
      </c>
      <c r="K105" s="48"/>
      <c r="L105" s="48"/>
      <c r="M105" s="36" t="s">
        <v>335</v>
      </c>
      <c r="N105" s="10" t="s">
        <v>327</v>
      </c>
      <c r="O105" s="2">
        <v>41620</v>
      </c>
      <c r="P105" s="2" t="s">
        <v>327</v>
      </c>
      <c r="Q105" s="43" t="s">
        <v>26</v>
      </c>
      <c r="R105" s="48"/>
      <c r="S105" s="35"/>
      <c r="T105" s="43"/>
      <c r="U105" s="43"/>
    </row>
    <row r="106" spans="1:21" s="5" customFormat="1" ht="90" x14ac:dyDescent="0.25">
      <c r="A106" s="48"/>
      <c r="B106" s="48"/>
      <c r="C106" s="48"/>
      <c r="D106" s="43" t="s">
        <v>332</v>
      </c>
      <c r="E106" s="43">
        <v>9016.69</v>
      </c>
      <c r="F106" s="43">
        <v>1142.1099999999999</v>
      </c>
      <c r="G106" s="43">
        <v>25</v>
      </c>
      <c r="H106" s="43">
        <v>25</v>
      </c>
      <c r="I106" s="43">
        <v>38.991</v>
      </c>
      <c r="J106" s="43">
        <v>38.991</v>
      </c>
      <c r="K106" s="48"/>
      <c r="L106" s="48"/>
      <c r="M106" s="36" t="s">
        <v>335</v>
      </c>
      <c r="N106" s="10" t="s">
        <v>327</v>
      </c>
      <c r="O106" s="2">
        <v>41613</v>
      </c>
      <c r="P106" s="2" t="s">
        <v>327</v>
      </c>
      <c r="Q106" s="43" t="s">
        <v>26</v>
      </c>
      <c r="R106" s="48"/>
      <c r="S106" s="19"/>
      <c r="T106" s="37"/>
      <c r="U106" s="37"/>
    </row>
    <row r="107" spans="1:21" s="5" customFormat="1" ht="105" x14ac:dyDescent="0.25">
      <c r="A107" s="48"/>
      <c r="B107" s="48"/>
      <c r="C107" s="48"/>
      <c r="D107" s="43" t="s">
        <v>333</v>
      </c>
      <c r="E107" s="43">
        <v>9027.5</v>
      </c>
      <c r="F107" s="43">
        <v>504.34</v>
      </c>
      <c r="G107" s="43">
        <v>4</v>
      </c>
      <c r="H107" s="43">
        <v>2</v>
      </c>
      <c r="I107" s="43">
        <v>11.177</v>
      </c>
      <c r="J107" s="43">
        <v>3.5369999999999999</v>
      </c>
      <c r="K107" s="48"/>
      <c r="L107" s="48"/>
      <c r="M107" s="36" t="s">
        <v>336</v>
      </c>
      <c r="N107" s="43" t="s">
        <v>328</v>
      </c>
      <c r="O107" s="2">
        <v>41620</v>
      </c>
      <c r="P107" s="2" t="s">
        <v>328</v>
      </c>
      <c r="Q107" s="43" t="s">
        <v>26</v>
      </c>
      <c r="R107" s="48"/>
      <c r="S107" s="28"/>
      <c r="T107" s="43"/>
      <c r="U107" s="43"/>
    </row>
    <row r="108" spans="1:21" s="5" customFormat="1" ht="90" x14ac:dyDescent="0.25">
      <c r="A108" s="48"/>
      <c r="B108" s="48"/>
      <c r="C108" s="48"/>
      <c r="D108" s="43" t="s">
        <v>334</v>
      </c>
      <c r="E108" s="36">
        <v>8998.84</v>
      </c>
      <c r="F108" s="36">
        <v>2178.9699999999998</v>
      </c>
      <c r="G108" s="43">
        <v>81</v>
      </c>
      <c r="H108" s="43">
        <v>72</v>
      </c>
      <c r="I108" s="43">
        <v>120.502</v>
      </c>
      <c r="J108" s="43">
        <v>106.748</v>
      </c>
      <c r="K108" s="48"/>
      <c r="L108" s="48"/>
      <c r="M108" s="36" t="s">
        <v>335</v>
      </c>
      <c r="N108" s="10" t="s">
        <v>327</v>
      </c>
      <c r="O108" s="2">
        <v>41620</v>
      </c>
      <c r="P108" s="2" t="s">
        <v>327</v>
      </c>
      <c r="Q108" s="43" t="s">
        <v>26</v>
      </c>
      <c r="R108" s="48"/>
      <c r="S108" s="28"/>
      <c r="T108" s="43"/>
      <c r="U108" s="43"/>
    </row>
    <row r="109" spans="1:21" s="5" customFormat="1" ht="75" x14ac:dyDescent="0.25">
      <c r="A109" s="49"/>
      <c r="B109" s="49"/>
      <c r="C109" s="49"/>
      <c r="D109" s="43" t="s">
        <v>329</v>
      </c>
      <c r="E109" s="36">
        <v>2306.5100000000002</v>
      </c>
      <c r="F109" s="36">
        <v>1580</v>
      </c>
      <c r="G109" s="43">
        <v>0</v>
      </c>
      <c r="H109" s="43">
        <v>0</v>
      </c>
      <c r="I109" s="43">
        <v>0</v>
      </c>
      <c r="J109" s="43">
        <v>0</v>
      </c>
      <c r="K109" s="49"/>
      <c r="L109" s="49"/>
      <c r="M109" s="36" t="s">
        <v>330</v>
      </c>
      <c r="N109" s="36" t="s">
        <v>328</v>
      </c>
      <c r="O109" s="67"/>
      <c r="P109" s="67" t="s">
        <v>328</v>
      </c>
      <c r="Q109" s="43" t="s">
        <v>26</v>
      </c>
      <c r="R109" s="49"/>
      <c r="S109" s="29"/>
      <c r="T109" s="36"/>
      <c r="U109" s="36"/>
    </row>
    <row r="110" spans="1:21" s="5" customFormat="1" ht="135" customHeight="1" x14ac:dyDescent="0.25">
      <c r="A110" s="47">
        <v>37</v>
      </c>
      <c r="B110" s="47" t="s">
        <v>674</v>
      </c>
      <c r="C110" s="47" t="s">
        <v>990</v>
      </c>
      <c r="D110" s="43" t="s">
        <v>99</v>
      </c>
      <c r="E110" s="47">
        <v>17305.759999999998</v>
      </c>
      <c r="F110" s="43">
        <v>0</v>
      </c>
      <c r="G110" s="43">
        <v>16</v>
      </c>
      <c r="H110" s="43">
        <v>16</v>
      </c>
      <c r="I110" s="43">
        <v>39</v>
      </c>
      <c r="J110" s="43">
        <v>39</v>
      </c>
      <c r="K110" s="47">
        <f>0+5.1+0</f>
        <v>5.0999999999999996</v>
      </c>
      <c r="L110" s="43" t="s">
        <v>675</v>
      </c>
      <c r="M110" s="43" t="s">
        <v>492</v>
      </c>
      <c r="N110" s="43"/>
      <c r="O110" s="2">
        <v>41848</v>
      </c>
      <c r="P110" s="2">
        <v>42979</v>
      </c>
      <c r="Q110" s="43" t="s">
        <v>188</v>
      </c>
      <c r="R110" s="43" t="s">
        <v>26</v>
      </c>
      <c r="S110" s="43"/>
      <c r="T110" s="43"/>
      <c r="U110" s="66"/>
    </row>
    <row r="111" spans="1:21" s="5" customFormat="1" ht="135" x14ac:dyDescent="0.25">
      <c r="A111" s="48"/>
      <c r="B111" s="48"/>
      <c r="C111" s="48"/>
      <c r="D111" s="43" t="s">
        <v>490</v>
      </c>
      <c r="E111" s="48"/>
      <c r="F111" s="43">
        <v>0</v>
      </c>
      <c r="G111" s="43">
        <v>1</v>
      </c>
      <c r="H111" s="43">
        <v>1</v>
      </c>
      <c r="I111" s="43">
        <v>3.4</v>
      </c>
      <c r="J111" s="43">
        <v>3.4</v>
      </c>
      <c r="K111" s="48"/>
      <c r="L111" s="43" t="s">
        <v>675</v>
      </c>
      <c r="M111" s="43" t="s">
        <v>492</v>
      </c>
      <c r="N111" s="43"/>
      <c r="O111" s="2">
        <v>42512</v>
      </c>
      <c r="P111" s="2" t="s">
        <v>14</v>
      </c>
      <c r="Q111" s="43" t="s">
        <v>188</v>
      </c>
      <c r="R111" s="43" t="s">
        <v>26</v>
      </c>
      <c r="S111" s="43"/>
      <c r="T111" s="43"/>
      <c r="U111" s="66"/>
    </row>
    <row r="112" spans="1:21" s="5" customFormat="1" ht="135" x14ac:dyDescent="0.25">
      <c r="A112" s="49"/>
      <c r="B112" s="49"/>
      <c r="C112" s="49"/>
      <c r="D112" s="43" t="s">
        <v>491</v>
      </c>
      <c r="E112" s="49"/>
      <c r="F112" s="43">
        <v>0</v>
      </c>
      <c r="G112" s="43">
        <v>1</v>
      </c>
      <c r="H112" s="43">
        <v>1</v>
      </c>
      <c r="I112" s="43">
        <v>1.7</v>
      </c>
      <c r="J112" s="43">
        <v>1.7</v>
      </c>
      <c r="K112" s="49"/>
      <c r="L112" s="43" t="s">
        <v>675</v>
      </c>
      <c r="M112" s="43" t="s">
        <v>492</v>
      </c>
      <c r="N112" s="43"/>
      <c r="O112" s="2">
        <v>42512</v>
      </c>
      <c r="P112" s="2" t="s">
        <v>14</v>
      </c>
      <c r="Q112" s="43" t="s">
        <v>188</v>
      </c>
      <c r="R112" s="43" t="s">
        <v>26</v>
      </c>
      <c r="S112" s="43"/>
      <c r="T112" s="43"/>
      <c r="U112" s="66"/>
    </row>
    <row r="113" spans="1:21" s="5" customFormat="1" ht="105" customHeight="1" x14ac:dyDescent="0.25">
      <c r="A113" s="47">
        <v>38</v>
      </c>
      <c r="B113" s="47" t="s">
        <v>684</v>
      </c>
      <c r="C113" s="47" t="s">
        <v>943</v>
      </c>
      <c r="D113" s="43" t="s">
        <v>315</v>
      </c>
      <c r="E113" s="43">
        <v>11824.8</v>
      </c>
      <c r="F113" s="43">
        <v>4277.5</v>
      </c>
      <c r="G113" s="43">
        <v>178</v>
      </c>
      <c r="H113" s="43">
        <f>135+16</f>
        <v>151</v>
      </c>
      <c r="I113" s="43">
        <v>389.43400000000003</v>
      </c>
      <c r="J113" s="43">
        <v>282.24900000000002</v>
      </c>
      <c r="K113" s="47">
        <f>38.62+85.523+140.457+37.429</f>
        <v>302.029</v>
      </c>
      <c r="L113" s="43" t="s">
        <v>317</v>
      </c>
      <c r="M113" s="43" t="s">
        <v>316</v>
      </c>
      <c r="N113" s="43" t="s">
        <v>524</v>
      </c>
      <c r="O113" s="2">
        <v>41800</v>
      </c>
      <c r="P113" s="2" t="s">
        <v>718</v>
      </c>
      <c r="Q113" s="43" t="s">
        <v>318</v>
      </c>
      <c r="R113" s="17">
        <v>1</v>
      </c>
      <c r="S113" s="43"/>
      <c r="U113" s="66"/>
    </row>
    <row r="114" spans="1:21" s="5" customFormat="1" ht="105" x14ac:dyDescent="0.25">
      <c r="A114" s="48"/>
      <c r="B114" s="48"/>
      <c r="C114" s="48"/>
      <c r="D114" s="43" t="s">
        <v>508</v>
      </c>
      <c r="E114" s="43">
        <v>0</v>
      </c>
      <c r="F114" s="43">
        <v>3699</v>
      </c>
      <c r="G114" s="43">
        <v>6</v>
      </c>
      <c r="H114" s="43">
        <v>5</v>
      </c>
      <c r="I114" s="43">
        <v>2.67</v>
      </c>
      <c r="J114" s="43">
        <v>2.4300000000000002</v>
      </c>
      <c r="K114" s="48"/>
      <c r="L114" s="43" t="s">
        <v>509</v>
      </c>
      <c r="M114" s="43" t="s">
        <v>510</v>
      </c>
      <c r="N114" s="43"/>
      <c r="O114" s="2">
        <v>42506</v>
      </c>
      <c r="P114" s="2" t="s">
        <v>166</v>
      </c>
      <c r="Q114" s="43" t="s">
        <v>26</v>
      </c>
      <c r="R114" s="17">
        <v>1</v>
      </c>
      <c r="S114" s="43" t="s">
        <v>534</v>
      </c>
      <c r="T114" s="43" t="s">
        <v>1073</v>
      </c>
      <c r="U114" s="66"/>
    </row>
    <row r="115" spans="1:21" s="5" customFormat="1" ht="105" x14ac:dyDescent="0.25">
      <c r="A115" s="49"/>
      <c r="B115" s="49"/>
      <c r="C115" s="49"/>
      <c r="D115" s="43" t="s">
        <v>511</v>
      </c>
      <c r="E115" s="43">
        <f>4095+4236.2</f>
        <v>8331.2000000000007</v>
      </c>
      <c r="F115" s="43">
        <f>945+1001.8+2789.7</f>
        <v>4736.5</v>
      </c>
      <c r="G115" s="43">
        <v>4</v>
      </c>
      <c r="H115" s="43">
        <v>4</v>
      </c>
      <c r="I115" s="43">
        <v>7.45</v>
      </c>
      <c r="J115" s="43">
        <v>7.45</v>
      </c>
      <c r="K115" s="49"/>
      <c r="L115" s="43" t="s">
        <v>442</v>
      </c>
      <c r="M115" s="43" t="s">
        <v>387</v>
      </c>
      <c r="N115" s="43"/>
      <c r="O115" s="2">
        <v>42662</v>
      </c>
      <c r="P115" s="2" t="s">
        <v>327</v>
      </c>
      <c r="Q115" s="43" t="s">
        <v>93</v>
      </c>
      <c r="R115" s="43"/>
      <c r="S115" s="43"/>
      <c r="T115" s="43"/>
      <c r="U115" s="66"/>
    </row>
    <row r="116" spans="1:21" s="5" customFormat="1" ht="105" x14ac:dyDescent="0.25">
      <c r="A116" s="47">
        <v>39</v>
      </c>
      <c r="B116" s="47" t="s">
        <v>676</v>
      </c>
      <c r="C116" s="47" t="s">
        <v>931</v>
      </c>
      <c r="D116" s="43" t="s">
        <v>131</v>
      </c>
      <c r="E116" s="43">
        <v>8486.4</v>
      </c>
      <c r="F116" s="43">
        <v>1740.7</v>
      </c>
      <c r="G116" s="43">
        <v>181</v>
      </c>
      <c r="H116" s="43">
        <v>180</v>
      </c>
      <c r="I116" s="43">
        <v>286.92</v>
      </c>
      <c r="J116" s="43">
        <v>285.01</v>
      </c>
      <c r="K116" s="47">
        <f>113+98+129+127</f>
        <v>467</v>
      </c>
      <c r="L116" s="43" t="s">
        <v>44</v>
      </c>
      <c r="M116" s="43" t="s">
        <v>132</v>
      </c>
      <c r="N116" s="86" t="s">
        <v>133</v>
      </c>
      <c r="O116" s="2">
        <v>41817</v>
      </c>
      <c r="P116" s="86" t="s">
        <v>133</v>
      </c>
      <c r="Q116" s="43" t="s">
        <v>20</v>
      </c>
      <c r="R116" s="43">
        <v>100</v>
      </c>
      <c r="S116" s="43"/>
      <c r="T116" s="43" t="s">
        <v>135</v>
      </c>
      <c r="U116" s="43" t="s">
        <v>825</v>
      </c>
    </row>
    <row r="117" spans="1:21" s="5" customFormat="1" ht="135" x14ac:dyDescent="0.25">
      <c r="A117" s="48"/>
      <c r="B117" s="48"/>
      <c r="C117" s="48"/>
      <c r="D117" s="43" t="s">
        <v>136</v>
      </c>
      <c r="E117" s="43">
        <v>8467</v>
      </c>
      <c r="F117" s="43">
        <f>431.48+73</f>
        <v>504.48</v>
      </c>
      <c r="G117" s="1">
        <v>330</v>
      </c>
      <c r="H117" s="43">
        <f>279+51</f>
        <v>330</v>
      </c>
      <c r="I117" s="43">
        <v>374</v>
      </c>
      <c r="J117" s="43">
        <v>374</v>
      </c>
      <c r="K117" s="48"/>
      <c r="L117" s="43" t="s">
        <v>678</v>
      </c>
      <c r="M117" s="43" t="s">
        <v>137</v>
      </c>
      <c r="N117" s="2"/>
      <c r="O117" s="2">
        <v>42069</v>
      </c>
      <c r="P117" s="9" t="s">
        <v>810</v>
      </c>
      <c r="Q117" s="34" t="s">
        <v>20</v>
      </c>
      <c r="R117" s="43" t="s">
        <v>26</v>
      </c>
      <c r="S117" s="43" t="s">
        <v>576</v>
      </c>
      <c r="T117" s="43" t="s">
        <v>932</v>
      </c>
      <c r="U117" s="43" t="s">
        <v>933</v>
      </c>
    </row>
    <row r="118" spans="1:21" s="5" customFormat="1" ht="135" x14ac:dyDescent="0.25">
      <c r="A118" s="49"/>
      <c r="B118" s="49"/>
      <c r="C118" s="49"/>
      <c r="D118" s="43" t="s">
        <v>677</v>
      </c>
      <c r="E118" s="43">
        <v>8468.77</v>
      </c>
      <c r="F118" s="43">
        <v>431.48</v>
      </c>
      <c r="G118" s="1">
        <v>109</v>
      </c>
      <c r="H118" s="43">
        <f>52+57</f>
        <v>109</v>
      </c>
      <c r="I118" s="43">
        <v>149</v>
      </c>
      <c r="J118" s="43">
        <v>149</v>
      </c>
      <c r="K118" s="49"/>
      <c r="L118" s="43" t="s">
        <v>679</v>
      </c>
      <c r="M118" s="43" t="s">
        <v>409</v>
      </c>
      <c r="N118" s="2"/>
      <c r="O118" s="2">
        <v>42409</v>
      </c>
      <c r="P118" s="9" t="s">
        <v>811</v>
      </c>
      <c r="Q118" s="34" t="s">
        <v>680</v>
      </c>
      <c r="R118" s="43" t="s">
        <v>26</v>
      </c>
      <c r="S118" s="43"/>
      <c r="T118" s="43"/>
      <c r="U118" s="36"/>
    </row>
    <row r="119" spans="1:21" s="5" customFormat="1" ht="180" x14ac:dyDescent="0.25">
      <c r="A119" s="34">
        <v>40</v>
      </c>
      <c r="B119" s="34" t="s">
        <v>795</v>
      </c>
      <c r="C119" s="34"/>
      <c r="D119" s="43" t="s">
        <v>769</v>
      </c>
      <c r="E119" s="43">
        <v>3715.1</v>
      </c>
      <c r="F119" s="43">
        <f>464.93+433.57</f>
        <v>898.5</v>
      </c>
      <c r="G119" s="43">
        <v>61</v>
      </c>
      <c r="H119" s="43">
        <v>59</v>
      </c>
      <c r="I119" s="43">
        <v>189</v>
      </c>
      <c r="J119" s="43">
        <v>183.7</v>
      </c>
      <c r="K119" s="43">
        <f>1.5+0.16</f>
        <v>1.66</v>
      </c>
      <c r="L119" s="43" t="s">
        <v>22</v>
      </c>
      <c r="M119" s="43" t="s">
        <v>146</v>
      </c>
      <c r="N119" s="43" t="s">
        <v>147</v>
      </c>
      <c r="O119" s="2">
        <v>41730</v>
      </c>
      <c r="P119" s="9">
        <v>42488</v>
      </c>
      <c r="Q119" s="34" t="s">
        <v>171</v>
      </c>
      <c r="R119" s="17">
        <v>1</v>
      </c>
      <c r="S119" s="43"/>
      <c r="T119" s="43" t="s">
        <v>134</v>
      </c>
      <c r="U119" s="30" t="s">
        <v>794</v>
      </c>
    </row>
    <row r="120" spans="1:21" s="5" customFormat="1" ht="135" x14ac:dyDescent="0.25">
      <c r="A120" s="34">
        <v>41</v>
      </c>
      <c r="B120" s="34" t="s">
        <v>628</v>
      </c>
      <c r="C120" s="34" t="s">
        <v>1022</v>
      </c>
      <c r="D120" s="34" t="s">
        <v>379</v>
      </c>
      <c r="E120" s="34">
        <v>2684.27</v>
      </c>
      <c r="F120" s="34">
        <v>0</v>
      </c>
      <c r="G120" s="34">
        <v>11</v>
      </c>
      <c r="H120" s="34">
        <v>8</v>
      </c>
      <c r="I120" s="34">
        <v>18.7</v>
      </c>
      <c r="J120" s="34">
        <v>12.6</v>
      </c>
      <c r="K120" s="34">
        <f>0+1.9+6.03+7.9</f>
        <v>15.83</v>
      </c>
      <c r="L120" s="34" t="s">
        <v>25</v>
      </c>
      <c r="M120" s="34" t="s">
        <v>377</v>
      </c>
      <c r="N120" s="87" t="s">
        <v>104</v>
      </c>
      <c r="O120" s="9">
        <v>41837</v>
      </c>
      <c r="P120" s="87" t="s">
        <v>104</v>
      </c>
      <c r="Q120" s="34" t="s">
        <v>378</v>
      </c>
      <c r="R120" s="43" t="s">
        <v>26</v>
      </c>
      <c r="S120" s="34"/>
      <c r="T120" s="34"/>
      <c r="U120" s="34"/>
    </row>
    <row r="121" spans="1:21" s="5" customFormat="1" ht="90" x14ac:dyDescent="0.25">
      <c r="A121" s="50">
        <v>42</v>
      </c>
      <c r="B121" s="50" t="s">
        <v>244</v>
      </c>
      <c r="C121" s="47" t="s">
        <v>926</v>
      </c>
      <c r="D121" s="43" t="s">
        <v>245</v>
      </c>
      <c r="E121" s="43">
        <v>825.4</v>
      </c>
      <c r="F121" s="43">
        <v>0</v>
      </c>
      <c r="G121" s="43">
        <v>1</v>
      </c>
      <c r="H121" s="43">
        <v>0</v>
      </c>
      <c r="I121" s="43">
        <v>30.07</v>
      </c>
      <c r="J121" s="43">
        <v>0</v>
      </c>
      <c r="K121" s="47">
        <f>16.2+0+0</f>
        <v>16.2</v>
      </c>
      <c r="L121" s="34" t="s">
        <v>48</v>
      </c>
      <c r="M121" s="43" t="s">
        <v>246</v>
      </c>
      <c r="N121" s="2"/>
      <c r="O121" s="2">
        <v>41929</v>
      </c>
      <c r="P121" s="2">
        <v>42309</v>
      </c>
      <c r="Q121" s="43" t="s">
        <v>26</v>
      </c>
      <c r="R121" s="17">
        <v>1</v>
      </c>
      <c r="S121" s="43"/>
      <c r="T121" s="43" t="s">
        <v>571</v>
      </c>
      <c r="U121" s="30" t="s">
        <v>829</v>
      </c>
    </row>
    <row r="122" spans="1:21" s="5" customFormat="1" ht="90" x14ac:dyDescent="0.25">
      <c r="A122" s="50"/>
      <c r="B122" s="50"/>
      <c r="C122" s="48"/>
      <c r="D122" s="43" t="s">
        <v>247</v>
      </c>
      <c r="E122" s="43">
        <v>624</v>
      </c>
      <c r="F122" s="43">
        <v>0</v>
      </c>
      <c r="G122" s="43">
        <v>1</v>
      </c>
      <c r="H122" s="43">
        <v>0</v>
      </c>
      <c r="I122" s="43">
        <v>23.91</v>
      </c>
      <c r="J122" s="43">
        <v>0</v>
      </c>
      <c r="K122" s="48"/>
      <c r="L122" s="34" t="s">
        <v>48</v>
      </c>
      <c r="M122" s="43" t="s">
        <v>248</v>
      </c>
      <c r="N122" s="43"/>
      <c r="O122" s="2">
        <v>42367</v>
      </c>
      <c r="P122" s="2">
        <v>42704</v>
      </c>
      <c r="Q122" s="43" t="s">
        <v>26</v>
      </c>
      <c r="R122" s="17">
        <v>1</v>
      </c>
      <c r="S122" s="43"/>
      <c r="T122" s="43" t="s">
        <v>571</v>
      </c>
      <c r="U122" s="30" t="s">
        <v>829</v>
      </c>
    </row>
    <row r="123" spans="1:21" s="5" customFormat="1" ht="90" x14ac:dyDescent="0.25">
      <c r="A123" s="50"/>
      <c r="B123" s="50"/>
      <c r="C123" s="49"/>
      <c r="D123" s="43" t="s">
        <v>842</v>
      </c>
      <c r="E123" s="43">
        <v>28</v>
      </c>
      <c r="F123" s="43">
        <v>0</v>
      </c>
      <c r="G123" s="43">
        <v>1</v>
      </c>
      <c r="H123" s="43">
        <v>0</v>
      </c>
      <c r="I123" s="43">
        <v>1.9</v>
      </c>
      <c r="J123" s="43"/>
      <c r="K123" s="49"/>
      <c r="L123" s="34" t="s">
        <v>927</v>
      </c>
      <c r="M123" s="43" t="s">
        <v>841</v>
      </c>
      <c r="N123" s="43"/>
      <c r="O123" s="2">
        <v>42731</v>
      </c>
      <c r="P123" s="2">
        <v>43069</v>
      </c>
      <c r="Q123" s="43" t="s">
        <v>93</v>
      </c>
      <c r="R123" s="17"/>
      <c r="S123" s="43"/>
      <c r="T123" s="43"/>
      <c r="U123" s="30"/>
    </row>
    <row r="124" spans="1:21" s="5" customFormat="1" ht="150" x14ac:dyDescent="0.25">
      <c r="A124" s="43">
        <v>43</v>
      </c>
      <c r="B124" s="43" t="s">
        <v>659</v>
      </c>
      <c r="C124" s="43" t="s">
        <v>959</v>
      </c>
      <c r="D124" s="43" t="s">
        <v>660</v>
      </c>
      <c r="E124" s="43">
        <v>0</v>
      </c>
      <c r="F124" s="43">
        <v>4128</v>
      </c>
      <c r="G124" s="43">
        <v>3</v>
      </c>
      <c r="H124" s="43">
        <v>1</v>
      </c>
      <c r="I124" s="43">
        <v>6.7069999999999999</v>
      </c>
      <c r="J124" s="43">
        <v>1.5469999999999999</v>
      </c>
      <c r="K124" s="34">
        <f>0+0+0</f>
        <v>0</v>
      </c>
      <c r="L124" s="34" t="s">
        <v>661</v>
      </c>
      <c r="M124" s="43" t="s">
        <v>338</v>
      </c>
      <c r="N124" s="43"/>
      <c r="O124" s="2">
        <v>41745</v>
      </c>
      <c r="P124" s="2" t="s">
        <v>813</v>
      </c>
      <c r="Q124" s="43" t="s">
        <v>26</v>
      </c>
      <c r="R124" s="17"/>
      <c r="S124" s="17"/>
      <c r="T124" s="43"/>
      <c r="U124" s="43"/>
    </row>
    <row r="125" spans="1:21" s="5" customFormat="1" ht="105" x14ac:dyDescent="0.25">
      <c r="A125" s="43">
        <v>44</v>
      </c>
      <c r="B125" s="43" t="s">
        <v>361</v>
      </c>
      <c r="C125" s="43" t="s">
        <v>914</v>
      </c>
      <c r="D125" s="43" t="s">
        <v>362</v>
      </c>
      <c r="E125" s="43">
        <v>2127.5</v>
      </c>
      <c r="F125" s="43">
        <v>0</v>
      </c>
      <c r="G125" s="43">
        <v>0</v>
      </c>
      <c r="H125" s="43" t="s">
        <v>26</v>
      </c>
      <c r="I125" s="43">
        <v>0</v>
      </c>
      <c r="J125" s="43" t="s">
        <v>26</v>
      </c>
      <c r="K125" s="43">
        <f>0</f>
        <v>0</v>
      </c>
      <c r="L125" s="43" t="s">
        <v>363</v>
      </c>
      <c r="M125" s="43" t="s">
        <v>364</v>
      </c>
      <c r="N125" s="43" t="s">
        <v>365</v>
      </c>
      <c r="O125" s="2">
        <v>41710</v>
      </c>
      <c r="P125" s="2">
        <v>42734</v>
      </c>
      <c r="Q125" s="43" t="s">
        <v>26</v>
      </c>
      <c r="R125" s="43" t="s">
        <v>26</v>
      </c>
      <c r="S125" s="43"/>
      <c r="T125" s="43"/>
      <c r="U125" s="43"/>
    </row>
    <row r="126" spans="1:21" s="5" customFormat="1" ht="105" x14ac:dyDescent="0.25">
      <c r="A126" s="47">
        <v>45</v>
      </c>
      <c r="B126" s="47" t="s">
        <v>685</v>
      </c>
      <c r="C126" s="47"/>
      <c r="D126" s="43" t="s">
        <v>370</v>
      </c>
      <c r="E126" s="5">
        <v>1926.35</v>
      </c>
      <c r="F126" s="43">
        <v>0</v>
      </c>
      <c r="G126" s="43">
        <v>2</v>
      </c>
      <c r="H126" s="43" t="s">
        <v>26</v>
      </c>
      <c r="I126" s="43">
        <v>67.103999999999999</v>
      </c>
      <c r="J126" s="43" t="s">
        <v>26</v>
      </c>
      <c r="K126" s="47">
        <v>0</v>
      </c>
      <c r="L126" s="43" t="s">
        <v>64</v>
      </c>
      <c r="M126" s="43" t="s">
        <v>372</v>
      </c>
      <c r="N126" s="43" t="s">
        <v>686</v>
      </c>
      <c r="O126" s="2">
        <v>41611</v>
      </c>
      <c r="P126" s="2" t="s">
        <v>153</v>
      </c>
      <c r="Q126" s="43" t="s">
        <v>29</v>
      </c>
      <c r="R126" s="43" t="s">
        <v>26</v>
      </c>
      <c r="S126" s="43"/>
      <c r="T126" s="43"/>
      <c r="U126" s="34"/>
    </row>
    <row r="127" spans="1:21" s="5" customFormat="1" ht="105" x14ac:dyDescent="0.25">
      <c r="A127" s="49"/>
      <c r="B127" s="49"/>
      <c r="C127" s="49"/>
      <c r="D127" s="43" t="s">
        <v>371</v>
      </c>
      <c r="E127" s="43">
        <v>1969.25</v>
      </c>
      <c r="F127" s="43">
        <v>0</v>
      </c>
      <c r="G127" s="43">
        <v>25</v>
      </c>
      <c r="H127" s="43" t="s">
        <v>26</v>
      </c>
      <c r="I127" s="43">
        <v>63.222000000000001</v>
      </c>
      <c r="J127" s="43" t="s">
        <v>26</v>
      </c>
      <c r="K127" s="49"/>
      <c r="L127" s="43" t="s">
        <v>65</v>
      </c>
      <c r="M127" s="43" t="s">
        <v>372</v>
      </c>
      <c r="N127" s="43" t="s">
        <v>572</v>
      </c>
      <c r="O127" s="2">
        <v>41611</v>
      </c>
      <c r="P127" s="2" t="s">
        <v>153</v>
      </c>
      <c r="Q127" s="43" t="s">
        <v>29</v>
      </c>
      <c r="R127" s="43" t="s">
        <v>26</v>
      </c>
      <c r="S127" s="43"/>
      <c r="T127" s="43" t="s">
        <v>570</v>
      </c>
      <c r="U127" s="43" t="s">
        <v>826</v>
      </c>
    </row>
    <row r="128" spans="1:21" s="5" customFormat="1" ht="240" x14ac:dyDescent="0.25">
      <c r="A128" s="43">
        <v>46</v>
      </c>
      <c r="B128" s="43" t="s">
        <v>643</v>
      </c>
      <c r="C128" s="43" t="s">
        <v>1007</v>
      </c>
      <c r="D128" s="43" t="s">
        <v>644</v>
      </c>
      <c r="E128" s="43">
        <v>4991.3</v>
      </c>
      <c r="F128" s="43">
        <v>1078.5</v>
      </c>
      <c r="G128" s="43">
        <v>63</v>
      </c>
      <c r="H128" s="43">
        <v>56</v>
      </c>
      <c r="I128" s="43">
        <v>104.72</v>
      </c>
      <c r="J128" s="43">
        <v>91.46</v>
      </c>
      <c r="K128" s="43">
        <f>16.1+12.7+4+0.3</f>
        <v>33.099999999999994</v>
      </c>
      <c r="L128" s="43" t="s">
        <v>35</v>
      </c>
      <c r="M128" s="43" t="s">
        <v>157</v>
      </c>
      <c r="N128" s="2" t="s">
        <v>390</v>
      </c>
      <c r="O128" s="2">
        <v>41856</v>
      </c>
      <c r="P128" s="2">
        <v>42643</v>
      </c>
      <c r="Q128" s="43" t="s">
        <v>221</v>
      </c>
      <c r="R128" s="17">
        <v>1</v>
      </c>
      <c r="S128" s="43"/>
      <c r="T128" s="43" t="s">
        <v>645</v>
      </c>
      <c r="U128" s="66"/>
    </row>
    <row r="129" spans="1:21" s="5" customFormat="1" ht="105" x14ac:dyDescent="0.25">
      <c r="A129" s="36">
        <v>47</v>
      </c>
      <c r="B129" s="34" t="s">
        <v>169</v>
      </c>
      <c r="C129" s="36" t="s">
        <v>871</v>
      </c>
      <c r="D129" s="34" t="s">
        <v>170</v>
      </c>
      <c r="E129" s="43">
        <v>938.2</v>
      </c>
      <c r="F129" s="43">
        <v>22.6</v>
      </c>
      <c r="G129" s="43">
        <v>1</v>
      </c>
      <c r="H129" s="43">
        <v>0</v>
      </c>
      <c r="I129" s="43">
        <v>35.96</v>
      </c>
      <c r="J129" s="43">
        <v>0</v>
      </c>
      <c r="K129" s="43">
        <f>0+10.786</f>
        <v>10.786</v>
      </c>
      <c r="L129" s="43" t="s">
        <v>869</v>
      </c>
      <c r="M129" s="43" t="s">
        <v>496</v>
      </c>
      <c r="N129" s="43" t="s">
        <v>153</v>
      </c>
      <c r="O129" s="2">
        <v>42359</v>
      </c>
      <c r="P129" s="2" t="s">
        <v>153</v>
      </c>
      <c r="Q129" s="43" t="s">
        <v>26</v>
      </c>
      <c r="R129" s="17">
        <v>1</v>
      </c>
      <c r="S129" s="43"/>
      <c r="T129" s="43" t="s">
        <v>870</v>
      </c>
      <c r="U129" s="43" t="s">
        <v>688</v>
      </c>
    </row>
    <row r="130" spans="1:21" s="5" customFormat="1" ht="105" x14ac:dyDescent="0.25">
      <c r="A130" s="45">
        <v>48</v>
      </c>
      <c r="B130" s="47" t="s">
        <v>603</v>
      </c>
      <c r="C130" s="47"/>
      <c r="D130" s="34" t="s">
        <v>57</v>
      </c>
      <c r="E130" s="40">
        <v>5342.48</v>
      </c>
      <c r="F130" s="43">
        <v>258.7</v>
      </c>
      <c r="G130" s="43">
        <v>103</v>
      </c>
      <c r="H130" s="43" t="s">
        <v>28</v>
      </c>
      <c r="I130" s="43">
        <v>199</v>
      </c>
      <c r="J130" s="43" t="s">
        <v>28</v>
      </c>
      <c r="K130" s="43"/>
      <c r="L130" s="43" t="s">
        <v>37</v>
      </c>
      <c r="M130" s="43" t="s">
        <v>38</v>
      </c>
      <c r="N130" s="43" t="s">
        <v>12</v>
      </c>
      <c r="O130" s="2">
        <v>41505</v>
      </c>
      <c r="P130" s="2"/>
      <c r="Q130" s="43" t="s">
        <v>29</v>
      </c>
      <c r="R130" s="43">
        <v>21</v>
      </c>
      <c r="S130" s="36"/>
      <c r="T130" s="36"/>
      <c r="U130" s="35"/>
    </row>
    <row r="131" spans="1:21" s="5" customFormat="1" ht="105" x14ac:dyDescent="0.25">
      <c r="A131" s="46"/>
      <c r="B131" s="49"/>
      <c r="C131" s="49"/>
      <c r="D131" s="34" t="s">
        <v>58</v>
      </c>
      <c r="E131" s="40">
        <v>5710.04</v>
      </c>
      <c r="F131" s="43">
        <v>258.7</v>
      </c>
      <c r="G131" s="43">
        <v>118</v>
      </c>
      <c r="H131" s="43" t="s">
        <v>28</v>
      </c>
      <c r="I131" s="43">
        <v>227</v>
      </c>
      <c r="J131" s="43" t="s">
        <v>28</v>
      </c>
      <c r="K131" s="43"/>
      <c r="L131" s="43" t="s">
        <v>36</v>
      </c>
      <c r="M131" s="43" t="s">
        <v>39</v>
      </c>
      <c r="N131" s="43"/>
      <c r="O131" s="2">
        <v>41639</v>
      </c>
      <c r="P131" s="2"/>
      <c r="Q131" s="43" t="s">
        <v>29</v>
      </c>
      <c r="R131" s="43">
        <v>7.8</v>
      </c>
      <c r="S131" s="43"/>
      <c r="T131" s="43"/>
      <c r="U131" s="43"/>
    </row>
    <row r="132" spans="1:21" s="6" customFormat="1" ht="105" x14ac:dyDescent="0.25">
      <c r="A132" s="51">
        <v>49</v>
      </c>
      <c r="B132" s="54" t="s">
        <v>96</v>
      </c>
      <c r="C132" s="54" t="s">
        <v>987</v>
      </c>
      <c r="D132" s="1" t="s">
        <v>424</v>
      </c>
      <c r="E132" s="1">
        <v>1934.1</v>
      </c>
      <c r="F132" s="1">
        <v>0</v>
      </c>
      <c r="G132" s="1">
        <v>1</v>
      </c>
      <c r="H132" s="1">
        <v>0</v>
      </c>
      <c r="I132" s="1">
        <v>44.889000000000003</v>
      </c>
      <c r="J132" s="1">
        <v>0</v>
      </c>
      <c r="K132" s="54">
        <f>0+0+12.5+14.31</f>
        <v>26.810000000000002</v>
      </c>
      <c r="L132" s="1" t="s">
        <v>143</v>
      </c>
      <c r="M132" s="1" t="s">
        <v>425</v>
      </c>
      <c r="N132" s="1"/>
      <c r="O132" s="88">
        <v>42348</v>
      </c>
      <c r="P132" s="88" t="s">
        <v>340</v>
      </c>
      <c r="Q132" s="1" t="s">
        <v>26</v>
      </c>
      <c r="R132" s="1" t="s">
        <v>26</v>
      </c>
      <c r="S132" s="1"/>
      <c r="T132" s="1"/>
      <c r="U132" s="1"/>
    </row>
    <row r="133" spans="1:21" s="6" customFormat="1" ht="120" x14ac:dyDescent="0.25">
      <c r="A133" s="52"/>
      <c r="B133" s="55"/>
      <c r="C133" s="55"/>
      <c r="D133" s="1" t="s">
        <v>426</v>
      </c>
      <c r="E133" s="1">
        <v>1043.0999999999999</v>
      </c>
      <c r="F133" s="1">
        <v>0</v>
      </c>
      <c r="G133" s="1">
        <v>1</v>
      </c>
      <c r="H133" s="1">
        <v>0</v>
      </c>
      <c r="I133" s="1">
        <v>34.017000000000003</v>
      </c>
      <c r="J133" s="1">
        <v>0</v>
      </c>
      <c r="K133" s="55"/>
      <c r="L133" s="1" t="s">
        <v>144</v>
      </c>
      <c r="M133" s="1" t="s">
        <v>427</v>
      </c>
      <c r="N133" s="1"/>
      <c r="O133" s="88">
        <v>42331</v>
      </c>
      <c r="P133" s="88" t="s">
        <v>340</v>
      </c>
      <c r="Q133" s="1" t="s">
        <v>26</v>
      </c>
      <c r="R133" s="1" t="s">
        <v>26</v>
      </c>
      <c r="S133" s="1"/>
      <c r="T133" s="1"/>
      <c r="U133" s="1"/>
    </row>
    <row r="134" spans="1:21" s="6" customFormat="1" ht="120" x14ac:dyDescent="0.25">
      <c r="A134" s="53"/>
      <c r="B134" s="56"/>
      <c r="C134" s="56"/>
      <c r="D134" s="1" t="s">
        <v>353</v>
      </c>
      <c r="E134" s="1">
        <v>1043.0999999999999</v>
      </c>
      <c r="F134" s="1">
        <v>0</v>
      </c>
      <c r="G134" s="1">
        <v>1</v>
      </c>
      <c r="H134" s="1">
        <v>0</v>
      </c>
      <c r="I134" s="1">
        <v>41.658999999999999</v>
      </c>
      <c r="J134" s="1">
        <v>0</v>
      </c>
      <c r="K134" s="56"/>
      <c r="L134" s="44" t="s">
        <v>144</v>
      </c>
      <c r="M134" s="44" t="s">
        <v>428</v>
      </c>
      <c r="N134" s="44"/>
      <c r="O134" s="89">
        <v>42354</v>
      </c>
      <c r="P134" s="89" t="s">
        <v>340</v>
      </c>
      <c r="Q134" s="44" t="s">
        <v>26</v>
      </c>
      <c r="R134" s="44" t="s">
        <v>26</v>
      </c>
      <c r="S134" s="44"/>
      <c r="T134" s="44"/>
      <c r="U134" s="44"/>
    </row>
    <row r="135" spans="1:21" s="5" customFormat="1" ht="75" customHeight="1" x14ac:dyDescent="0.25">
      <c r="A135" s="47">
        <v>50</v>
      </c>
      <c r="B135" s="47" t="s">
        <v>493</v>
      </c>
      <c r="C135" s="47" t="s">
        <v>894</v>
      </c>
      <c r="D135" s="43" t="s">
        <v>158</v>
      </c>
      <c r="E135" s="43">
        <v>0</v>
      </c>
      <c r="F135" s="43">
        <v>1241.3</v>
      </c>
      <c r="G135" s="43">
        <v>4</v>
      </c>
      <c r="H135" s="43">
        <v>4</v>
      </c>
      <c r="I135" s="43">
        <v>64.3</v>
      </c>
      <c r="J135" s="43">
        <v>64.3</v>
      </c>
      <c r="K135" s="47">
        <f>40.1+34.2+24+14</f>
        <v>112.30000000000001</v>
      </c>
      <c r="L135" s="43" t="s">
        <v>30</v>
      </c>
      <c r="M135" s="43" t="s">
        <v>159</v>
      </c>
      <c r="N135" s="43"/>
      <c r="O135" s="2">
        <v>41999</v>
      </c>
      <c r="P135" s="2" t="s">
        <v>15</v>
      </c>
      <c r="Q135" s="43" t="s">
        <v>26</v>
      </c>
      <c r="R135" s="17">
        <v>1</v>
      </c>
      <c r="S135" s="43"/>
      <c r="T135" s="43" t="s">
        <v>160</v>
      </c>
      <c r="U135" s="34" t="s">
        <v>831</v>
      </c>
    </row>
    <row r="136" spans="1:21" s="5" customFormat="1" ht="75" x14ac:dyDescent="0.25">
      <c r="A136" s="48"/>
      <c r="B136" s="48"/>
      <c r="C136" s="48"/>
      <c r="D136" s="43" t="s">
        <v>161</v>
      </c>
      <c r="E136" s="43">
        <v>0</v>
      </c>
      <c r="F136" s="43">
        <v>2130.6</v>
      </c>
      <c r="G136" s="43">
        <v>4</v>
      </c>
      <c r="H136" s="43">
        <v>4</v>
      </c>
      <c r="I136" s="43">
        <v>75.400000000000006</v>
      </c>
      <c r="J136" s="43">
        <v>75.400000000000006</v>
      </c>
      <c r="K136" s="48"/>
      <c r="L136" s="43" t="s">
        <v>75</v>
      </c>
      <c r="M136" s="43" t="s">
        <v>162</v>
      </c>
      <c r="N136" s="43"/>
      <c r="O136" s="2">
        <v>42082</v>
      </c>
      <c r="P136" s="2" t="s">
        <v>74</v>
      </c>
      <c r="Q136" s="43" t="s">
        <v>26</v>
      </c>
      <c r="R136" s="17">
        <v>1</v>
      </c>
      <c r="S136" s="43"/>
      <c r="T136" s="43" t="s">
        <v>163</v>
      </c>
      <c r="U136" s="34" t="s">
        <v>831</v>
      </c>
    </row>
    <row r="137" spans="1:21" s="5" customFormat="1" ht="135" x14ac:dyDescent="0.25">
      <c r="A137" s="48"/>
      <c r="B137" s="48"/>
      <c r="C137" s="48"/>
      <c r="D137" s="43" t="s">
        <v>557</v>
      </c>
      <c r="E137" s="43">
        <v>842.43</v>
      </c>
      <c r="F137" s="43">
        <v>274</v>
      </c>
      <c r="G137" s="43">
        <v>8</v>
      </c>
      <c r="H137" s="43">
        <v>8</v>
      </c>
      <c r="I137" s="43">
        <v>77.2</v>
      </c>
      <c r="J137" s="43">
        <v>77.2</v>
      </c>
      <c r="K137" s="48"/>
      <c r="L137" s="43" t="s">
        <v>681</v>
      </c>
      <c r="M137" s="43" t="s">
        <v>164</v>
      </c>
      <c r="N137" s="43"/>
      <c r="O137" s="2">
        <v>42090</v>
      </c>
      <c r="P137" s="2" t="s">
        <v>14</v>
      </c>
      <c r="Q137" s="43" t="s">
        <v>26</v>
      </c>
      <c r="R137" s="17">
        <v>1</v>
      </c>
      <c r="S137" s="43"/>
      <c r="T137" s="43" t="s">
        <v>556</v>
      </c>
      <c r="U137" s="43" t="s">
        <v>815</v>
      </c>
    </row>
    <row r="138" spans="1:21" s="5" customFormat="1" ht="105" x14ac:dyDescent="0.25">
      <c r="A138" s="49"/>
      <c r="B138" s="49"/>
      <c r="C138" s="49"/>
      <c r="D138" s="43" t="s">
        <v>682</v>
      </c>
      <c r="E138" s="43">
        <v>4650.01</v>
      </c>
      <c r="F138" s="43">
        <f>107.24+649.47</f>
        <v>756.71</v>
      </c>
      <c r="G138" s="43">
        <v>24</v>
      </c>
      <c r="H138" s="43">
        <v>12</v>
      </c>
      <c r="I138" s="43">
        <v>54.8</v>
      </c>
      <c r="J138" s="43">
        <v>32.24</v>
      </c>
      <c r="K138" s="49"/>
      <c r="L138" s="43" t="s">
        <v>683</v>
      </c>
      <c r="M138" s="43" t="s">
        <v>620</v>
      </c>
      <c r="N138" s="43"/>
      <c r="O138" s="2">
        <v>42559</v>
      </c>
      <c r="P138" s="2" t="s">
        <v>78</v>
      </c>
      <c r="Q138" s="43" t="s">
        <v>778</v>
      </c>
      <c r="R138" s="43" t="s">
        <v>26</v>
      </c>
      <c r="S138" s="43"/>
      <c r="T138" s="43"/>
      <c r="U138" s="36"/>
    </row>
    <row r="139" spans="1:21" s="5" customFormat="1" ht="135" x14ac:dyDescent="0.25">
      <c r="A139" s="47">
        <v>51</v>
      </c>
      <c r="B139" s="47" t="s">
        <v>322</v>
      </c>
      <c r="C139" s="47" t="s">
        <v>898</v>
      </c>
      <c r="D139" s="43" t="s">
        <v>766</v>
      </c>
      <c r="E139" s="43">
        <v>3486.5</v>
      </c>
      <c r="F139" s="43">
        <f>809.6+8.9+8.5+3.2+3.1+1082.3</f>
        <v>1915.6</v>
      </c>
      <c r="G139" s="43">
        <v>70</v>
      </c>
      <c r="H139" s="43">
        <v>69</v>
      </c>
      <c r="I139" s="43">
        <v>252.39500000000001</v>
      </c>
      <c r="J139" s="43">
        <v>230.06299999999999</v>
      </c>
      <c r="K139" s="47">
        <f>53.222+38.609+9.049+12.387</f>
        <v>113.267</v>
      </c>
      <c r="L139" s="34" t="s">
        <v>381</v>
      </c>
      <c r="M139" s="43" t="s">
        <v>107</v>
      </c>
      <c r="N139" s="43" t="s">
        <v>14</v>
      </c>
      <c r="O139" s="2">
        <v>41988</v>
      </c>
      <c r="P139" s="2" t="s">
        <v>14</v>
      </c>
      <c r="Q139" s="43" t="s">
        <v>26</v>
      </c>
      <c r="R139" s="17">
        <v>1</v>
      </c>
      <c r="S139" s="43"/>
      <c r="T139" s="43" t="s">
        <v>558</v>
      </c>
      <c r="U139" s="43" t="s">
        <v>800</v>
      </c>
    </row>
    <row r="140" spans="1:21" s="5" customFormat="1" ht="60" x14ac:dyDescent="0.25">
      <c r="A140" s="48"/>
      <c r="B140" s="48"/>
      <c r="C140" s="48"/>
      <c r="D140" s="43" t="s">
        <v>767</v>
      </c>
      <c r="E140" s="43">
        <v>14432.8</v>
      </c>
      <c r="F140" s="43"/>
      <c r="G140" s="43">
        <v>9</v>
      </c>
      <c r="H140" s="43">
        <v>5</v>
      </c>
      <c r="I140" s="43">
        <v>24.082000000000001</v>
      </c>
      <c r="J140" s="43">
        <v>12.387</v>
      </c>
      <c r="K140" s="48"/>
      <c r="L140" s="47" t="s">
        <v>184</v>
      </c>
      <c r="M140" s="43" t="s">
        <v>108</v>
      </c>
      <c r="N140" s="43" t="s">
        <v>78</v>
      </c>
      <c r="O140" s="2">
        <v>42367</v>
      </c>
      <c r="P140" s="2" t="s">
        <v>78</v>
      </c>
      <c r="Q140" s="43" t="s">
        <v>768</v>
      </c>
      <c r="R140" s="90">
        <v>0.17180000000000001</v>
      </c>
      <c r="S140" s="34"/>
      <c r="T140" s="43"/>
      <c r="U140" s="43"/>
    </row>
    <row r="141" spans="1:21" s="5" customFormat="1" ht="60" x14ac:dyDescent="0.25">
      <c r="A141" s="49"/>
      <c r="B141" s="49"/>
      <c r="C141" s="49"/>
      <c r="D141" s="43" t="s">
        <v>382</v>
      </c>
      <c r="E141" s="36">
        <v>9254</v>
      </c>
      <c r="F141" s="43"/>
      <c r="G141" s="43"/>
      <c r="H141" s="43"/>
      <c r="I141" s="43"/>
      <c r="J141" s="43"/>
      <c r="K141" s="49"/>
      <c r="L141" s="49"/>
      <c r="M141" s="43" t="s">
        <v>853</v>
      </c>
      <c r="N141" s="43"/>
      <c r="O141" s="2"/>
      <c r="P141" s="2"/>
      <c r="Q141" s="43"/>
      <c r="R141" s="10"/>
      <c r="S141" s="43"/>
      <c r="T141" s="43"/>
      <c r="U141" s="43"/>
    </row>
    <row r="142" spans="1:21" s="5" customFormat="1" ht="105" x14ac:dyDescent="0.25">
      <c r="A142" s="43">
        <v>52</v>
      </c>
      <c r="B142" s="43" t="s">
        <v>635</v>
      </c>
      <c r="C142" s="43"/>
      <c r="D142" s="43" t="s">
        <v>226</v>
      </c>
      <c r="E142" s="43">
        <f>7463.27+5586.24</f>
        <v>13049.51</v>
      </c>
      <c r="F142" s="43">
        <v>1341.08</v>
      </c>
      <c r="G142" s="43">
        <v>225</v>
      </c>
      <c r="H142" s="43">
        <v>214</v>
      </c>
      <c r="I142" s="43">
        <v>531.5</v>
      </c>
      <c r="J142" s="43">
        <v>477.5</v>
      </c>
      <c r="K142" s="43">
        <f>45+29+22</f>
        <v>96</v>
      </c>
      <c r="L142" s="43" t="s">
        <v>53</v>
      </c>
      <c r="M142" s="43" t="s">
        <v>225</v>
      </c>
      <c r="N142" s="43" t="s">
        <v>480</v>
      </c>
      <c r="O142" s="2">
        <v>41940</v>
      </c>
      <c r="P142" s="2" t="s">
        <v>15</v>
      </c>
      <c r="Q142" s="43" t="s">
        <v>227</v>
      </c>
      <c r="R142" s="43" t="s">
        <v>26</v>
      </c>
      <c r="S142" s="43"/>
      <c r="T142" s="43"/>
      <c r="U142" s="43"/>
    </row>
    <row r="143" spans="1:21" s="5" customFormat="1" ht="120" x14ac:dyDescent="0.25">
      <c r="A143" s="91">
        <v>53</v>
      </c>
      <c r="B143" s="47" t="s">
        <v>642</v>
      </c>
      <c r="C143" s="47"/>
      <c r="D143" s="43" t="s">
        <v>232</v>
      </c>
      <c r="E143" s="43">
        <v>12076.88</v>
      </c>
      <c r="F143" s="43">
        <f>306.41+96.6+45.3</f>
        <v>448.31</v>
      </c>
      <c r="G143" s="43">
        <v>186</v>
      </c>
      <c r="H143" s="43">
        <v>186</v>
      </c>
      <c r="I143" s="43">
        <v>416.9</v>
      </c>
      <c r="J143" s="43">
        <v>416.9</v>
      </c>
      <c r="K143" s="47">
        <f>28.3+17</f>
        <v>45.3</v>
      </c>
      <c r="L143" s="43" t="s">
        <v>41</v>
      </c>
      <c r="M143" s="47" t="s">
        <v>231</v>
      </c>
      <c r="N143" s="43" t="s">
        <v>204</v>
      </c>
      <c r="O143" s="2">
        <v>41915</v>
      </c>
      <c r="P143" s="2" t="s">
        <v>204</v>
      </c>
      <c r="Q143" s="47" t="s">
        <v>26</v>
      </c>
      <c r="R143" s="17">
        <v>1</v>
      </c>
      <c r="S143" s="43"/>
      <c r="T143" s="43" t="s">
        <v>234</v>
      </c>
      <c r="U143" s="43" t="s">
        <v>800</v>
      </c>
    </row>
    <row r="144" spans="1:21" s="5" customFormat="1" ht="90" x14ac:dyDescent="0.25">
      <c r="A144" s="92"/>
      <c r="B144" s="48"/>
      <c r="C144" s="48"/>
      <c r="D144" s="43" t="s">
        <v>235</v>
      </c>
      <c r="E144" s="43">
        <v>12765.98</v>
      </c>
      <c r="F144" s="43">
        <v>421.61</v>
      </c>
      <c r="G144" s="43">
        <v>191</v>
      </c>
      <c r="H144" s="43">
        <v>191</v>
      </c>
      <c r="I144" s="43">
        <v>441.3</v>
      </c>
      <c r="J144" s="43">
        <v>441.3</v>
      </c>
      <c r="K144" s="48"/>
      <c r="L144" s="43" t="s">
        <v>41</v>
      </c>
      <c r="M144" s="49"/>
      <c r="N144" s="43" t="s">
        <v>204</v>
      </c>
      <c r="O144" s="2">
        <v>42050</v>
      </c>
      <c r="P144" s="2" t="s">
        <v>204</v>
      </c>
      <c r="Q144" s="48"/>
      <c r="R144" s="17">
        <v>1</v>
      </c>
      <c r="S144" s="43"/>
      <c r="T144" s="43" t="s">
        <v>233</v>
      </c>
      <c r="U144" s="43" t="s">
        <v>800</v>
      </c>
    </row>
    <row r="145" spans="1:21" s="5" customFormat="1" ht="75" x14ac:dyDescent="0.25">
      <c r="A145" s="92"/>
      <c r="B145" s="48"/>
      <c r="C145" s="48"/>
      <c r="D145" s="43" t="s">
        <v>516</v>
      </c>
      <c r="E145" s="43">
        <v>9809.2999999999993</v>
      </c>
      <c r="F145" s="43">
        <v>612.54999999999995</v>
      </c>
      <c r="G145" s="43">
        <v>0</v>
      </c>
      <c r="H145" s="43">
        <v>0</v>
      </c>
      <c r="I145" s="43">
        <v>0</v>
      </c>
      <c r="J145" s="43">
        <v>0</v>
      </c>
      <c r="K145" s="48"/>
      <c r="L145" s="43" t="s">
        <v>236</v>
      </c>
      <c r="M145" s="36" t="s">
        <v>237</v>
      </c>
      <c r="N145" s="43"/>
      <c r="O145" s="2">
        <v>42310</v>
      </c>
      <c r="P145" s="2" t="s">
        <v>327</v>
      </c>
      <c r="Q145" s="48"/>
      <c r="R145" s="43"/>
      <c r="S145" s="43"/>
      <c r="T145" s="43"/>
      <c r="U145" s="35"/>
    </row>
    <row r="146" spans="1:21" s="5" customFormat="1" ht="75" x14ac:dyDescent="0.25">
      <c r="A146" s="93"/>
      <c r="B146" s="49"/>
      <c r="C146" s="49"/>
      <c r="D146" s="43" t="s">
        <v>517</v>
      </c>
      <c r="E146" s="43">
        <v>15010.72</v>
      </c>
      <c r="F146" s="43">
        <v>879.67</v>
      </c>
      <c r="G146" s="43">
        <v>0</v>
      </c>
      <c r="H146" s="43">
        <v>0</v>
      </c>
      <c r="I146" s="43">
        <v>0</v>
      </c>
      <c r="J146" s="43">
        <v>0</v>
      </c>
      <c r="K146" s="49"/>
      <c r="L146" s="43" t="s">
        <v>236</v>
      </c>
      <c r="M146" s="36" t="s">
        <v>237</v>
      </c>
      <c r="N146" s="43"/>
      <c r="O146" s="2">
        <v>42319</v>
      </c>
      <c r="P146" s="2" t="s">
        <v>718</v>
      </c>
      <c r="Q146" s="49"/>
      <c r="R146" s="43"/>
      <c r="S146" s="43"/>
      <c r="T146" s="43"/>
      <c r="U146" s="35"/>
    </row>
    <row r="147" spans="1:21" s="5" customFormat="1" ht="144.75" customHeight="1" x14ac:dyDescent="0.25">
      <c r="A147" s="94">
        <v>54</v>
      </c>
      <c r="B147" s="34" t="s">
        <v>1081</v>
      </c>
      <c r="C147" s="34" t="s">
        <v>1080</v>
      </c>
      <c r="D147" s="43" t="s">
        <v>430</v>
      </c>
      <c r="E147" s="43">
        <v>674.1</v>
      </c>
      <c r="F147" s="43">
        <v>0</v>
      </c>
      <c r="G147" s="43">
        <v>1</v>
      </c>
      <c r="H147" s="43">
        <v>0</v>
      </c>
      <c r="I147" s="43">
        <v>16.2</v>
      </c>
      <c r="J147" s="43">
        <v>0</v>
      </c>
      <c r="K147" s="36">
        <f>9.7</f>
        <v>9.6999999999999993</v>
      </c>
      <c r="L147" s="43" t="s">
        <v>429</v>
      </c>
      <c r="M147" s="43" t="s">
        <v>431</v>
      </c>
      <c r="N147" s="43"/>
      <c r="O147" s="2">
        <v>42412</v>
      </c>
      <c r="P147" s="2">
        <v>42719</v>
      </c>
      <c r="Q147" s="43" t="s">
        <v>432</v>
      </c>
      <c r="R147" s="43" t="s">
        <v>26</v>
      </c>
      <c r="S147" s="43"/>
      <c r="T147" s="43"/>
      <c r="U147" s="43"/>
    </row>
    <row r="148" spans="1:21" s="5" customFormat="1" ht="135" customHeight="1" x14ac:dyDescent="0.25">
      <c r="A148" s="91">
        <v>55</v>
      </c>
      <c r="B148" s="47" t="s">
        <v>273</v>
      </c>
      <c r="C148" s="47" t="s">
        <v>1016</v>
      </c>
      <c r="D148" s="43" t="s">
        <v>275</v>
      </c>
      <c r="E148" s="43">
        <v>6759.2</v>
      </c>
      <c r="F148" s="43">
        <v>191.8</v>
      </c>
      <c r="G148" s="43">
        <v>134</v>
      </c>
      <c r="H148" s="43">
        <v>121</v>
      </c>
      <c r="I148" s="43">
        <v>295.89999999999998</v>
      </c>
      <c r="J148" s="43">
        <v>262.27</v>
      </c>
      <c r="K148" s="47">
        <f>6.3+42.1+32.8+16.6</f>
        <v>97.799999999999983</v>
      </c>
      <c r="L148" s="43" t="s">
        <v>763</v>
      </c>
      <c r="M148" s="43" t="s">
        <v>274</v>
      </c>
      <c r="N148" s="43" t="s">
        <v>1037</v>
      </c>
      <c r="O148" s="2">
        <v>42003</v>
      </c>
      <c r="P148" s="2" t="s">
        <v>327</v>
      </c>
      <c r="Q148" s="43" t="s">
        <v>46</v>
      </c>
      <c r="R148" s="43" t="s">
        <v>26</v>
      </c>
      <c r="S148" s="43"/>
      <c r="T148" s="43"/>
      <c r="U148" s="43"/>
    </row>
    <row r="149" spans="1:21" s="5" customFormat="1" ht="195" x14ac:dyDescent="0.25">
      <c r="A149" s="93"/>
      <c r="B149" s="49"/>
      <c r="C149" s="49"/>
      <c r="D149" s="43" t="s">
        <v>764</v>
      </c>
      <c r="E149" s="40">
        <v>3678.6</v>
      </c>
      <c r="F149" s="40">
        <v>102.5</v>
      </c>
      <c r="G149" s="40">
        <v>85</v>
      </c>
      <c r="H149" s="40">
        <v>84</v>
      </c>
      <c r="I149" s="40">
        <v>166.1</v>
      </c>
      <c r="J149" s="40">
        <v>164.23</v>
      </c>
      <c r="K149" s="49"/>
      <c r="L149" s="43" t="s">
        <v>276</v>
      </c>
      <c r="M149" s="43" t="s">
        <v>274</v>
      </c>
      <c r="N149" s="43" t="s">
        <v>166</v>
      </c>
      <c r="O149" s="76">
        <v>42017</v>
      </c>
      <c r="P149" s="76" t="s">
        <v>166</v>
      </c>
      <c r="Q149" s="43" t="s">
        <v>452</v>
      </c>
      <c r="R149" s="43" t="s">
        <v>26</v>
      </c>
      <c r="S149" s="43"/>
      <c r="T149" s="43"/>
      <c r="U149" s="36"/>
    </row>
    <row r="150" spans="1:21" s="5" customFormat="1" ht="225" x14ac:dyDescent="0.25">
      <c r="A150" s="50">
        <v>56</v>
      </c>
      <c r="B150" s="47" t="s">
        <v>266</v>
      </c>
      <c r="C150" s="47" t="s">
        <v>875</v>
      </c>
      <c r="D150" s="43" t="s">
        <v>267</v>
      </c>
      <c r="E150" s="43">
        <v>2075.1999999999998</v>
      </c>
      <c r="F150" s="43">
        <f>33.68+50.16</f>
        <v>83.84</v>
      </c>
      <c r="G150" s="43">
        <v>12</v>
      </c>
      <c r="H150" s="43">
        <v>11</v>
      </c>
      <c r="I150" s="43">
        <v>78.605999999999995</v>
      </c>
      <c r="J150" s="43">
        <v>70.998999999999995</v>
      </c>
      <c r="K150" s="47">
        <f>13+0+0.3+0</f>
        <v>13.3</v>
      </c>
      <c r="L150" s="43" t="s">
        <v>786</v>
      </c>
      <c r="M150" s="47" t="s">
        <v>268</v>
      </c>
      <c r="N150" s="10" t="s">
        <v>271</v>
      </c>
      <c r="O150" s="2">
        <v>40749</v>
      </c>
      <c r="P150" s="2" t="s">
        <v>204</v>
      </c>
      <c r="Q150" s="43" t="s">
        <v>29</v>
      </c>
      <c r="R150" s="17">
        <v>1</v>
      </c>
      <c r="S150" s="43"/>
      <c r="T150" s="43" t="s">
        <v>272</v>
      </c>
      <c r="U150" s="43" t="s">
        <v>827</v>
      </c>
    </row>
    <row r="151" spans="1:21" s="5" customFormat="1" ht="180" x14ac:dyDescent="0.25">
      <c r="A151" s="50"/>
      <c r="B151" s="48"/>
      <c r="C151" s="48"/>
      <c r="D151" s="43" t="s">
        <v>269</v>
      </c>
      <c r="E151" s="43">
        <f>2118.59</f>
        <v>2118.59</v>
      </c>
      <c r="F151" s="43">
        <v>0</v>
      </c>
      <c r="G151" s="43">
        <v>6</v>
      </c>
      <c r="H151" s="43">
        <v>6</v>
      </c>
      <c r="I151" s="43">
        <v>93.837999999999994</v>
      </c>
      <c r="J151" s="43">
        <v>93.837999999999994</v>
      </c>
      <c r="K151" s="48"/>
      <c r="L151" s="43" t="s">
        <v>787</v>
      </c>
      <c r="M151" s="48"/>
      <c r="N151" s="43" t="s">
        <v>881</v>
      </c>
      <c r="O151" s="2">
        <v>40749</v>
      </c>
      <c r="P151" s="2" t="s">
        <v>166</v>
      </c>
      <c r="Q151" s="43" t="s">
        <v>29</v>
      </c>
      <c r="R151" s="43" t="s">
        <v>26</v>
      </c>
      <c r="S151" s="43"/>
      <c r="T151" s="43" t="s">
        <v>983</v>
      </c>
      <c r="U151" s="43"/>
    </row>
    <row r="152" spans="1:21" s="5" customFormat="1" ht="120" x14ac:dyDescent="0.25">
      <c r="A152" s="50"/>
      <c r="B152" s="49"/>
      <c r="C152" s="49"/>
      <c r="D152" s="43" t="s">
        <v>270</v>
      </c>
      <c r="E152" s="36">
        <v>3787.52</v>
      </c>
      <c r="F152" s="43">
        <v>463.43</v>
      </c>
      <c r="G152" s="43">
        <v>15</v>
      </c>
      <c r="H152" s="40">
        <v>10</v>
      </c>
      <c r="I152" s="43">
        <v>207.01</v>
      </c>
      <c r="J152" s="43">
        <v>188.72</v>
      </c>
      <c r="K152" s="49"/>
      <c r="L152" s="43" t="s">
        <v>788</v>
      </c>
      <c r="M152" s="49"/>
      <c r="N152" s="36" t="s">
        <v>882</v>
      </c>
      <c r="O152" s="2">
        <v>40774</v>
      </c>
      <c r="P152" s="2" t="s">
        <v>340</v>
      </c>
      <c r="Q152" s="2" t="s">
        <v>29</v>
      </c>
      <c r="R152" s="43" t="s">
        <v>26</v>
      </c>
      <c r="S152" s="43"/>
      <c r="T152" s="43"/>
      <c r="U152" s="43"/>
    </row>
    <row r="153" spans="1:21" s="5" customFormat="1" ht="105" x14ac:dyDescent="0.25">
      <c r="A153" s="50">
        <v>57</v>
      </c>
      <c r="B153" s="50" t="s">
        <v>222</v>
      </c>
      <c r="C153" s="50" t="s">
        <v>968</v>
      </c>
      <c r="D153" s="43" t="s">
        <v>1077</v>
      </c>
      <c r="E153" s="43">
        <v>16051.4</v>
      </c>
      <c r="F153" s="43">
        <v>574.20000000000005</v>
      </c>
      <c r="G153" s="43">
        <v>208</v>
      </c>
      <c r="H153" s="43">
        <v>174</v>
      </c>
      <c r="I153" s="43">
        <v>307.57</v>
      </c>
      <c r="J153" s="43">
        <v>246.86099999999999</v>
      </c>
      <c r="K153" s="50">
        <f>75.73+84.26+112.17+191.55</f>
        <v>463.71000000000004</v>
      </c>
      <c r="L153" s="50" t="s">
        <v>68</v>
      </c>
      <c r="M153" s="50" t="s">
        <v>224</v>
      </c>
      <c r="N153" s="43"/>
      <c r="O153" s="2">
        <v>42054</v>
      </c>
      <c r="P153" s="2" t="s">
        <v>153</v>
      </c>
      <c r="Q153" s="50" t="s">
        <v>67</v>
      </c>
      <c r="R153" s="17">
        <v>1</v>
      </c>
      <c r="S153" s="43" t="s">
        <v>552</v>
      </c>
      <c r="T153" s="43" t="s">
        <v>969</v>
      </c>
      <c r="U153" s="43"/>
    </row>
    <row r="154" spans="1:21" s="5" customFormat="1" ht="105" x14ac:dyDescent="0.25">
      <c r="A154" s="50"/>
      <c r="B154" s="50"/>
      <c r="C154" s="50"/>
      <c r="D154" s="43" t="s">
        <v>223</v>
      </c>
      <c r="E154" s="95">
        <v>15929.6</v>
      </c>
      <c r="F154" s="40">
        <v>594.6</v>
      </c>
      <c r="G154" s="40">
        <v>373</v>
      </c>
      <c r="H154" s="40">
        <v>354</v>
      </c>
      <c r="I154" s="40">
        <v>531.5</v>
      </c>
      <c r="J154" s="40">
        <v>499.96</v>
      </c>
      <c r="K154" s="50"/>
      <c r="L154" s="50"/>
      <c r="M154" s="50"/>
      <c r="N154" s="40" t="s">
        <v>14</v>
      </c>
      <c r="O154" s="76">
        <v>42054</v>
      </c>
      <c r="P154" s="76" t="s">
        <v>153</v>
      </c>
      <c r="Q154" s="50"/>
      <c r="R154" s="17">
        <v>1</v>
      </c>
      <c r="S154" s="43"/>
      <c r="T154" s="43" t="s">
        <v>418</v>
      </c>
      <c r="U154" s="43"/>
    </row>
    <row r="155" spans="1:21" s="5" customFormat="1" ht="105" x14ac:dyDescent="0.25">
      <c r="A155" s="43">
        <v>58</v>
      </c>
      <c r="B155" s="43" t="s">
        <v>321</v>
      </c>
      <c r="C155" s="43"/>
      <c r="D155" s="43" t="s">
        <v>100</v>
      </c>
      <c r="E155" s="43">
        <v>11834.64</v>
      </c>
      <c r="F155" s="43">
        <v>1038.47</v>
      </c>
      <c r="G155" s="43">
        <v>6</v>
      </c>
      <c r="H155" s="43" t="s">
        <v>26</v>
      </c>
      <c r="I155" s="43">
        <v>12</v>
      </c>
      <c r="J155" s="43" t="s">
        <v>26</v>
      </c>
      <c r="K155" s="43">
        <f>0.2</f>
        <v>0.2</v>
      </c>
      <c r="L155" s="43" t="s">
        <v>69</v>
      </c>
      <c r="M155" s="43" t="s">
        <v>70</v>
      </c>
      <c r="N155" s="2">
        <v>42712</v>
      </c>
      <c r="O155" s="2">
        <v>42030</v>
      </c>
      <c r="P155" s="2">
        <v>42712</v>
      </c>
      <c r="Q155" s="43" t="s">
        <v>71</v>
      </c>
      <c r="R155" s="43">
        <v>100</v>
      </c>
      <c r="S155" s="43"/>
      <c r="T155" s="43" t="s">
        <v>101</v>
      </c>
      <c r="U155" s="43" t="s">
        <v>828</v>
      </c>
    </row>
    <row r="156" spans="1:21" s="5" customFormat="1" ht="180" x14ac:dyDescent="0.25">
      <c r="A156" s="43">
        <v>59</v>
      </c>
      <c r="B156" s="43" t="s">
        <v>777</v>
      </c>
      <c r="C156" s="43" t="s">
        <v>989</v>
      </c>
      <c r="D156" s="43" t="s">
        <v>784</v>
      </c>
      <c r="E156" s="43">
        <v>11603.47</v>
      </c>
      <c r="F156" s="43">
        <v>924.83</v>
      </c>
      <c r="G156" s="43">
        <v>13</v>
      </c>
      <c r="H156" s="43">
        <v>8</v>
      </c>
      <c r="I156" s="43">
        <v>90.1</v>
      </c>
      <c r="J156" s="43">
        <v>56.9</v>
      </c>
      <c r="K156" s="43">
        <f>0.3+15+0.2+35</f>
        <v>50.5</v>
      </c>
      <c r="L156" s="43" t="s">
        <v>523</v>
      </c>
      <c r="M156" s="43" t="s">
        <v>305</v>
      </c>
      <c r="N156" s="43" t="s">
        <v>14</v>
      </c>
      <c r="O156" s="2">
        <v>42025</v>
      </c>
      <c r="P156" s="2" t="s">
        <v>796</v>
      </c>
      <c r="Q156" s="43" t="s">
        <v>785</v>
      </c>
      <c r="R156" s="43">
        <v>90</v>
      </c>
      <c r="S156" s="43"/>
      <c r="T156" s="43"/>
      <c r="U156" s="43"/>
    </row>
    <row r="157" spans="1:21" s="5" customFormat="1" ht="105" customHeight="1" x14ac:dyDescent="0.25">
      <c r="A157" s="47">
        <v>60</v>
      </c>
      <c r="B157" s="47" t="s">
        <v>249</v>
      </c>
      <c r="C157" s="47" t="s">
        <v>1028</v>
      </c>
      <c r="D157" s="43" t="s">
        <v>250</v>
      </c>
      <c r="E157" s="43">
        <v>1844.67</v>
      </c>
      <c r="F157" s="43">
        <v>387.7</v>
      </c>
      <c r="G157" s="43">
        <v>56</v>
      </c>
      <c r="H157" s="43">
        <v>56</v>
      </c>
      <c r="I157" s="43">
        <v>58.5</v>
      </c>
      <c r="J157" s="43">
        <v>58.5</v>
      </c>
      <c r="K157" s="47">
        <f>5.254+27.967+47.05+20.05</f>
        <v>100.32099999999998</v>
      </c>
      <c r="L157" s="43" t="s">
        <v>89</v>
      </c>
      <c r="M157" s="43" t="s">
        <v>585</v>
      </c>
      <c r="N157" s="43"/>
      <c r="O157" s="2">
        <v>42230</v>
      </c>
      <c r="P157" s="2" t="s">
        <v>74</v>
      </c>
      <c r="Q157" s="43" t="s">
        <v>453</v>
      </c>
      <c r="R157" s="17">
        <v>1</v>
      </c>
      <c r="S157" s="43"/>
      <c r="T157" s="43" t="s">
        <v>454</v>
      </c>
      <c r="U157" s="43" t="s">
        <v>831</v>
      </c>
    </row>
    <row r="158" spans="1:21" s="5" customFormat="1" ht="105" x14ac:dyDescent="0.25">
      <c r="A158" s="48"/>
      <c r="B158" s="48"/>
      <c r="C158" s="48"/>
      <c r="D158" s="43" t="s">
        <v>588</v>
      </c>
      <c r="E158" s="43">
        <v>1844.67</v>
      </c>
      <c r="F158" s="43">
        <v>0</v>
      </c>
      <c r="G158" s="43">
        <v>57</v>
      </c>
      <c r="H158" s="43">
        <v>57</v>
      </c>
      <c r="I158" s="43">
        <v>60.488</v>
      </c>
      <c r="J158" s="43">
        <v>60.488</v>
      </c>
      <c r="K158" s="48"/>
      <c r="L158" s="43" t="s">
        <v>587</v>
      </c>
      <c r="M158" s="43" t="s">
        <v>586</v>
      </c>
      <c r="N158" s="43"/>
      <c r="O158" s="2">
        <v>42557</v>
      </c>
      <c r="P158" s="2" t="s">
        <v>718</v>
      </c>
      <c r="Q158" s="43" t="s">
        <v>93</v>
      </c>
      <c r="R158" s="17">
        <v>0.69</v>
      </c>
      <c r="S158" s="43"/>
      <c r="T158" s="43"/>
      <c r="U158" s="43"/>
    </row>
    <row r="159" spans="1:21" s="5" customFormat="1" ht="105" x14ac:dyDescent="0.25">
      <c r="A159" s="48"/>
      <c r="B159" s="48"/>
      <c r="C159" s="48"/>
      <c r="D159" s="43" t="s">
        <v>589</v>
      </c>
      <c r="E159" s="43">
        <v>223.6</v>
      </c>
      <c r="F159" s="43">
        <v>0</v>
      </c>
      <c r="G159" s="43">
        <v>2</v>
      </c>
      <c r="H159" s="43">
        <v>2</v>
      </c>
      <c r="I159" s="43">
        <v>7.55</v>
      </c>
      <c r="J159" s="43">
        <v>7.55</v>
      </c>
      <c r="K159" s="48"/>
      <c r="L159" s="43" t="s">
        <v>590</v>
      </c>
      <c r="M159" s="43" t="s">
        <v>586</v>
      </c>
      <c r="N159" s="43"/>
      <c r="O159" s="2">
        <v>42643</v>
      </c>
      <c r="P159" s="2" t="s">
        <v>718</v>
      </c>
      <c r="Q159" s="43" t="s">
        <v>93</v>
      </c>
      <c r="R159" s="17">
        <v>0.81</v>
      </c>
      <c r="S159" s="43"/>
      <c r="T159" s="43"/>
      <c r="U159" s="43"/>
    </row>
    <row r="160" spans="1:21" s="5" customFormat="1" ht="105" x14ac:dyDescent="0.25">
      <c r="A160" s="49"/>
      <c r="B160" s="49"/>
      <c r="C160" s="49"/>
      <c r="D160" s="43" t="s">
        <v>1047</v>
      </c>
      <c r="E160" s="43">
        <v>1308.68</v>
      </c>
      <c r="F160" s="43">
        <v>0</v>
      </c>
      <c r="G160" s="43">
        <v>9</v>
      </c>
      <c r="H160" s="43">
        <v>9</v>
      </c>
      <c r="I160" s="43">
        <v>9.94</v>
      </c>
      <c r="J160" s="43">
        <v>9.94</v>
      </c>
      <c r="K160" s="49"/>
      <c r="L160" s="43" t="s">
        <v>1048</v>
      </c>
      <c r="M160" s="43" t="s">
        <v>1029</v>
      </c>
      <c r="N160" s="43"/>
      <c r="O160" s="2">
        <v>42718</v>
      </c>
      <c r="P160" s="2" t="s">
        <v>809</v>
      </c>
      <c r="Q160" s="43" t="s">
        <v>93</v>
      </c>
      <c r="R160" s="17">
        <v>0.14000000000000001</v>
      </c>
      <c r="S160" s="43"/>
      <c r="T160" s="43"/>
      <c r="U160" s="43"/>
    </row>
    <row r="161" spans="1:21" s="5" customFormat="1" ht="120" x14ac:dyDescent="0.25">
      <c r="A161" s="43">
        <v>61</v>
      </c>
      <c r="B161" s="43" t="s">
        <v>140</v>
      </c>
      <c r="C161" s="43"/>
      <c r="D161" s="43" t="s">
        <v>141</v>
      </c>
      <c r="E161" s="43">
        <v>6120.64</v>
      </c>
      <c r="F161" s="43">
        <v>1529.46</v>
      </c>
      <c r="G161" s="43">
        <v>3</v>
      </c>
      <c r="H161" s="43">
        <v>3</v>
      </c>
      <c r="I161" s="43">
        <v>8.1999999999999993</v>
      </c>
      <c r="J161" s="43">
        <v>8.1999999999999993</v>
      </c>
      <c r="K161" s="43">
        <f>3</f>
        <v>3</v>
      </c>
      <c r="L161" s="43" t="s">
        <v>173</v>
      </c>
      <c r="M161" s="43" t="s">
        <v>172</v>
      </c>
      <c r="N161" s="43"/>
      <c r="O161" s="2">
        <v>42156</v>
      </c>
      <c r="P161" s="2" t="s">
        <v>153</v>
      </c>
      <c r="Q161" s="43"/>
      <c r="R161" s="17">
        <v>1</v>
      </c>
      <c r="S161" s="43"/>
      <c r="T161" s="43" t="s">
        <v>142</v>
      </c>
      <c r="U161" s="43" t="s">
        <v>831</v>
      </c>
    </row>
    <row r="162" spans="1:21" s="5" customFormat="1" ht="255" x14ac:dyDescent="0.25">
      <c r="A162" s="47">
        <v>62</v>
      </c>
      <c r="B162" s="47" t="s">
        <v>1065</v>
      </c>
      <c r="C162" s="47" t="s">
        <v>940</v>
      </c>
      <c r="D162" s="43" t="s">
        <v>637</v>
      </c>
      <c r="E162" s="43">
        <v>2192.8000000000002</v>
      </c>
      <c r="F162" s="43">
        <v>1012.3</v>
      </c>
      <c r="G162" s="43">
        <v>63</v>
      </c>
      <c r="H162" s="43">
        <v>63</v>
      </c>
      <c r="I162" s="43">
        <v>108.86</v>
      </c>
      <c r="J162" s="43">
        <v>108.86</v>
      </c>
      <c r="K162" s="47">
        <f>14.32+16.27+24.39+30.6</f>
        <v>85.580000000000013</v>
      </c>
      <c r="L162" s="43" t="s">
        <v>187</v>
      </c>
      <c r="M162" s="43" t="s">
        <v>179</v>
      </c>
      <c r="N162" s="43"/>
      <c r="O162" s="2">
        <v>42212</v>
      </c>
      <c r="P162" s="2" t="s">
        <v>153</v>
      </c>
      <c r="Q162" s="43" t="s">
        <v>448</v>
      </c>
      <c r="R162" s="17">
        <v>1</v>
      </c>
      <c r="S162" s="43"/>
      <c r="T162" s="43" t="s">
        <v>562</v>
      </c>
      <c r="U162" s="43"/>
    </row>
    <row r="163" spans="1:21" s="5" customFormat="1" ht="97.5" customHeight="1" x14ac:dyDescent="0.25">
      <c r="A163" s="48"/>
      <c r="B163" s="48"/>
      <c r="C163" s="48"/>
      <c r="D163" s="43" t="s">
        <v>1066</v>
      </c>
      <c r="E163" s="43">
        <v>1143.2</v>
      </c>
      <c r="F163" s="43">
        <v>0</v>
      </c>
      <c r="G163" s="43">
        <v>2</v>
      </c>
      <c r="H163" s="43">
        <v>2</v>
      </c>
      <c r="I163" s="43">
        <v>9.09</v>
      </c>
      <c r="J163" s="43">
        <v>9.09</v>
      </c>
      <c r="K163" s="48"/>
      <c r="L163" s="43" t="s">
        <v>941</v>
      </c>
      <c r="M163" s="43" t="s">
        <v>1067</v>
      </c>
      <c r="N163" s="43"/>
      <c r="O163" s="2">
        <v>42706</v>
      </c>
      <c r="P163" s="2" t="s">
        <v>718</v>
      </c>
      <c r="Q163" s="43" t="s">
        <v>1068</v>
      </c>
      <c r="R163" s="17" t="s">
        <v>26</v>
      </c>
      <c r="S163" s="43"/>
      <c r="T163" s="43"/>
      <c r="U163" s="34"/>
    </row>
    <row r="164" spans="1:21" s="5" customFormat="1" ht="75" x14ac:dyDescent="0.25">
      <c r="A164" s="49"/>
      <c r="B164" s="49"/>
      <c r="C164" s="49"/>
      <c r="D164" s="43" t="s">
        <v>1069</v>
      </c>
      <c r="E164" s="43">
        <v>1006</v>
      </c>
      <c r="F164" s="43"/>
      <c r="G164" s="43">
        <v>1</v>
      </c>
      <c r="H164" s="43">
        <v>1</v>
      </c>
      <c r="I164" s="43">
        <v>2</v>
      </c>
      <c r="J164" s="43">
        <v>2</v>
      </c>
      <c r="K164" s="49"/>
      <c r="L164" s="43" t="s">
        <v>942</v>
      </c>
      <c r="M164" s="43" t="s">
        <v>1070</v>
      </c>
      <c r="N164" s="43"/>
      <c r="O164" s="2">
        <v>42707</v>
      </c>
      <c r="P164" s="2" t="s">
        <v>340</v>
      </c>
      <c r="Q164" s="43" t="s">
        <v>93</v>
      </c>
      <c r="R164" s="17"/>
      <c r="S164" s="43"/>
      <c r="T164" s="43"/>
      <c r="U164" s="34"/>
    </row>
    <row r="165" spans="1:21" s="5" customFormat="1" ht="120" x14ac:dyDescent="0.25">
      <c r="A165" s="47">
        <v>63</v>
      </c>
      <c r="B165" s="47" t="s">
        <v>419</v>
      </c>
      <c r="C165" s="73" t="s">
        <v>970</v>
      </c>
      <c r="D165" s="43" t="s">
        <v>82</v>
      </c>
      <c r="E165" s="43">
        <v>12612.8</v>
      </c>
      <c r="F165" s="43">
        <v>441.4</v>
      </c>
      <c r="G165" s="43">
        <v>157</v>
      </c>
      <c r="H165" s="43">
        <f>148+9</f>
        <v>157</v>
      </c>
      <c r="I165" s="43">
        <v>358.42</v>
      </c>
      <c r="J165" s="43">
        <v>357</v>
      </c>
      <c r="K165" s="47">
        <f>256.79+200.79+221+313.27</f>
        <v>991.85</v>
      </c>
      <c r="L165" s="43" t="s">
        <v>168</v>
      </c>
      <c r="M165" s="43" t="s">
        <v>155</v>
      </c>
      <c r="N165" s="43"/>
      <c r="O165" s="2">
        <v>42132</v>
      </c>
      <c r="P165" s="2" t="s">
        <v>327</v>
      </c>
      <c r="Q165" s="43" t="s">
        <v>167</v>
      </c>
      <c r="R165" s="43" t="s">
        <v>156</v>
      </c>
      <c r="S165" s="43"/>
      <c r="T165" s="43" t="s">
        <v>971</v>
      </c>
      <c r="U165" s="34"/>
    </row>
    <row r="166" spans="1:21" s="5" customFormat="1" ht="120" x14ac:dyDescent="0.25">
      <c r="A166" s="48"/>
      <c r="B166" s="48"/>
      <c r="C166" s="74"/>
      <c r="D166" s="43" t="s">
        <v>84</v>
      </c>
      <c r="E166" s="43">
        <v>8724.7999999999993</v>
      </c>
      <c r="F166" s="43">
        <v>221</v>
      </c>
      <c r="G166" s="43">
        <v>223</v>
      </c>
      <c r="H166" s="43">
        <v>222</v>
      </c>
      <c r="I166" s="43">
        <v>309.64</v>
      </c>
      <c r="J166" s="43">
        <v>309.07</v>
      </c>
      <c r="K166" s="48"/>
      <c r="L166" s="43" t="s">
        <v>168</v>
      </c>
      <c r="M166" s="43" t="s">
        <v>155</v>
      </c>
      <c r="N166" s="43"/>
      <c r="O166" s="2">
        <v>42152</v>
      </c>
      <c r="P166" s="2" t="s">
        <v>327</v>
      </c>
      <c r="Q166" s="43" t="s">
        <v>167</v>
      </c>
      <c r="R166" s="43" t="s">
        <v>156</v>
      </c>
      <c r="S166" s="43" t="s">
        <v>535</v>
      </c>
      <c r="T166" s="43" t="s">
        <v>972</v>
      </c>
      <c r="U166" s="43"/>
    </row>
    <row r="167" spans="1:21" s="5" customFormat="1" ht="120" x14ac:dyDescent="0.25">
      <c r="A167" s="48"/>
      <c r="B167" s="48"/>
      <c r="C167" s="74"/>
      <c r="D167" s="43" t="s">
        <v>83</v>
      </c>
      <c r="E167" s="43">
        <v>12660.8</v>
      </c>
      <c r="F167" s="43">
        <v>449.3</v>
      </c>
      <c r="G167" s="43">
        <v>35</v>
      </c>
      <c r="H167" s="43">
        <v>35</v>
      </c>
      <c r="I167" s="43">
        <v>82.445999999999998</v>
      </c>
      <c r="J167" s="43">
        <v>82.445999999999998</v>
      </c>
      <c r="K167" s="48"/>
      <c r="L167" s="43" t="s">
        <v>168</v>
      </c>
      <c r="M167" s="43" t="s">
        <v>155</v>
      </c>
      <c r="N167" s="43"/>
      <c r="O167" s="2">
        <v>42132</v>
      </c>
      <c r="P167" s="2" t="s">
        <v>327</v>
      </c>
      <c r="Q167" s="43" t="s">
        <v>167</v>
      </c>
      <c r="R167" s="43" t="s">
        <v>156</v>
      </c>
      <c r="S167" s="43" t="s">
        <v>779</v>
      </c>
      <c r="T167" s="43" t="s">
        <v>973</v>
      </c>
      <c r="U167" s="43"/>
    </row>
    <row r="168" spans="1:21" s="5" customFormat="1" ht="120" x14ac:dyDescent="0.25">
      <c r="A168" s="48"/>
      <c r="B168" s="48"/>
      <c r="C168" s="74"/>
      <c r="D168" s="43" t="s">
        <v>85</v>
      </c>
      <c r="E168" s="43">
        <v>8179.5</v>
      </c>
      <c r="F168" s="43">
        <v>287.10000000000002</v>
      </c>
      <c r="G168" s="43">
        <v>205</v>
      </c>
      <c r="H168" s="43">
        <v>203</v>
      </c>
      <c r="I168" s="43">
        <v>281.06</v>
      </c>
      <c r="J168" s="43">
        <v>279.39999999999998</v>
      </c>
      <c r="K168" s="48"/>
      <c r="L168" s="43" t="s">
        <v>168</v>
      </c>
      <c r="M168" s="43" t="s">
        <v>155</v>
      </c>
      <c r="N168" s="43"/>
      <c r="O168" s="2">
        <v>42152</v>
      </c>
      <c r="P168" s="2" t="s">
        <v>327</v>
      </c>
      <c r="Q168" s="43" t="s">
        <v>167</v>
      </c>
      <c r="R168" s="43" t="s">
        <v>156</v>
      </c>
      <c r="S168" s="43" t="s">
        <v>779</v>
      </c>
      <c r="T168" s="43" t="s">
        <v>974</v>
      </c>
      <c r="U168" s="43"/>
    </row>
    <row r="169" spans="1:21" s="5" customFormat="1" ht="146.25" customHeight="1" x14ac:dyDescent="0.25">
      <c r="A169" s="48"/>
      <c r="B169" s="48"/>
      <c r="C169" s="74"/>
      <c r="D169" s="43" t="s">
        <v>691</v>
      </c>
      <c r="E169" s="43">
        <v>20013.38</v>
      </c>
      <c r="F169" s="96">
        <v>1195</v>
      </c>
      <c r="G169" s="43">
        <v>15</v>
      </c>
      <c r="H169" s="43">
        <v>15</v>
      </c>
      <c r="I169" s="43">
        <v>16.37</v>
      </c>
      <c r="J169" s="43">
        <v>16.37</v>
      </c>
      <c r="K169" s="48"/>
      <c r="L169" s="48" t="s">
        <v>441</v>
      </c>
      <c r="M169" s="43" t="s">
        <v>697</v>
      </c>
      <c r="N169" s="43"/>
      <c r="O169" s="2">
        <v>42565</v>
      </c>
      <c r="P169" s="2" t="s">
        <v>328</v>
      </c>
      <c r="Q169" s="43"/>
      <c r="R169" s="43"/>
      <c r="S169" s="43"/>
      <c r="T169" s="43"/>
      <c r="U169" s="43"/>
    </row>
    <row r="170" spans="1:21" s="5" customFormat="1" ht="146.25" customHeight="1" x14ac:dyDescent="0.25">
      <c r="A170" s="48"/>
      <c r="B170" s="48"/>
      <c r="C170" s="74"/>
      <c r="D170" s="43" t="s">
        <v>692</v>
      </c>
      <c r="E170" s="43">
        <v>15478.72</v>
      </c>
      <c r="F170" s="96">
        <v>915</v>
      </c>
      <c r="G170" s="43">
        <v>7</v>
      </c>
      <c r="H170" s="43">
        <v>7</v>
      </c>
      <c r="I170" s="43">
        <v>7.28</v>
      </c>
      <c r="J170" s="43">
        <v>7.28</v>
      </c>
      <c r="K170" s="48"/>
      <c r="L170" s="48"/>
      <c r="M170" s="43" t="s">
        <v>697</v>
      </c>
      <c r="N170" s="43"/>
      <c r="O170" s="2">
        <v>42565</v>
      </c>
      <c r="P170" s="2" t="s">
        <v>328</v>
      </c>
      <c r="Q170" s="43"/>
      <c r="R170" s="43"/>
      <c r="S170" s="43"/>
      <c r="T170" s="43"/>
      <c r="U170" s="43"/>
    </row>
    <row r="171" spans="1:21" s="5" customFormat="1" ht="135" customHeight="1" x14ac:dyDescent="0.25">
      <c r="A171" s="48"/>
      <c r="B171" s="48"/>
      <c r="C171" s="74"/>
      <c r="D171" s="43" t="s">
        <v>693</v>
      </c>
      <c r="E171" s="43">
        <v>11049.6</v>
      </c>
      <c r="F171" s="96">
        <v>645</v>
      </c>
      <c r="G171" s="43">
        <v>0</v>
      </c>
      <c r="H171" s="43">
        <v>0</v>
      </c>
      <c r="I171" s="43">
        <v>0</v>
      </c>
      <c r="J171" s="43">
        <v>0</v>
      </c>
      <c r="K171" s="48"/>
      <c r="L171" s="48"/>
      <c r="M171" s="36" t="s">
        <v>698</v>
      </c>
      <c r="N171" s="36"/>
      <c r="O171" s="67">
        <v>42564</v>
      </c>
      <c r="P171" s="67" t="s">
        <v>814</v>
      </c>
      <c r="Q171" s="36"/>
      <c r="R171" s="36"/>
      <c r="S171" s="36"/>
      <c r="T171" s="43"/>
      <c r="U171" s="43"/>
    </row>
    <row r="172" spans="1:21" s="5" customFormat="1" ht="146.25" customHeight="1" x14ac:dyDescent="0.25">
      <c r="A172" s="48"/>
      <c r="B172" s="48"/>
      <c r="C172" s="74"/>
      <c r="D172" s="43" t="s">
        <v>694</v>
      </c>
      <c r="E172" s="43">
        <v>16224.64</v>
      </c>
      <c r="F172" s="96">
        <v>970</v>
      </c>
      <c r="G172" s="43">
        <v>0</v>
      </c>
      <c r="H172" s="43">
        <v>0</v>
      </c>
      <c r="I172" s="43">
        <v>0</v>
      </c>
      <c r="J172" s="43">
        <v>0</v>
      </c>
      <c r="K172" s="48"/>
      <c r="L172" s="48"/>
      <c r="M172" s="43" t="s">
        <v>698</v>
      </c>
      <c r="N172" s="43"/>
      <c r="O172" s="2">
        <v>42569</v>
      </c>
      <c r="P172" s="2" t="s">
        <v>814</v>
      </c>
      <c r="Q172" s="43"/>
      <c r="R172" s="43"/>
      <c r="S172" s="43"/>
      <c r="T172" s="43"/>
      <c r="U172" s="43"/>
    </row>
    <row r="173" spans="1:21" s="5" customFormat="1" ht="135" customHeight="1" x14ac:dyDescent="0.25">
      <c r="A173" s="48"/>
      <c r="B173" s="48"/>
      <c r="C173" s="74"/>
      <c r="D173" s="43" t="s">
        <v>696</v>
      </c>
      <c r="E173" s="43">
        <v>16224.64</v>
      </c>
      <c r="F173" s="96">
        <v>913</v>
      </c>
      <c r="G173" s="43">
        <v>0</v>
      </c>
      <c r="H173" s="43">
        <v>0</v>
      </c>
      <c r="I173" s="43">
        <v>0</v>
      </c>
      <c r="J173" s="43">
        <v>0</v>
      </c>
      <c r="K173" s="48"/>
      <c r="L173" s="48"/>
      <c r="M173" s="43" t="s">
        <v>698</v>
      </c>
      <c r="N173" s="43"/>
      <c r="O173" s="2">
        <v>42566</v>
      </c>
      <c r="P173" s="2" t="s">
        <v>814</v>
      </c>
      <c r="Q173" s="43"/>
      <c r="R173" s="43"/>
      <c r="S173" s="43"/>
      <c r="T173" s="43"/>
      <c r="U173" s="43"/>
    </row>
    <row r="174" spans="1:21" s="5" customFormat="1" ht="135" customHeight="1" x14ac:dyDescent="0.25">
      <c r="A174" s="48"/>
      <c r="B174" s="48"/>
      <c r="C174" s="74"/>
      <c r="D174" s="43" t="s">
        <v>695</v>
      </c>
      <c r="E174" s="43">
        <v>31926.560000000001</v>
      </c>
      <c r="F174" s="96">
        <v>1859</v>
      </c>
      <c r="G174" s="43">
        <v>0</v>
      </c>
      <c r="H174" s="43">
        <v>0</v>
      </c>
      <c r="I174" s="43">
        <v>0</v>
      </c>
      <c r="J174" s="43">
        <v>0</v>
      </c>
      <c r="K174" s="48"/>
      <c r="L174" s="49"/>
      <c r="M174" s="43" t="s">
        <v>698</v>
      </c>
      <c r="N174" s="43"/>
      <c r="O174" s="2">
        <v>42566</v>
      </c>
      <c r="P174" s="2" t="s">
        <v>814</v>
      </c>
      <c r="Q174" s="43"/>
      <c r="R174" s="43"/>
      <c r="S174" s="43"/>
      <c r="T174" s="43"/>
      <c r="U174" s="43"/>
    </row>
    <row r="175" spans="1:21" s="5" customFormat="1" ht="120" x14ac:dyDescent="0.25">
      <c r="A175" s="48"/>
      <c r="B175" s="48"/>
      <c r="C175" s="74"/>
      <c r="D175" s="43" t="s">
        <v>1012</v>
      </c>
      <c r="E175" s="43">
        <v>11988.64</v>
      </c>
      <c r="F175" s="43">
        <v>380.3</v>
      </c>
      <c r="G175" s="43">
        <v>8</v>
      </c>
      <c r="H175" s="43">
        <v>8</v>
      </c>
      <c r="I175" s="43">
        <v>9.42</v>
      </c>
      <c r="J175" s="43">
        <v>9.42</v>
      </c>
      <c r="K175" s="48"/>
      <c r="L175" s="43" t="s">
        <v>699</v>
      </c>
      <c r="M175" s="43" t="s">
        <v>701</v>
      </c>
      <c r="N175" s="43"/>
      <c r="O175" s="2">
        <v>42702</v>
      </c>
      <c r="P175" s="2"/>
      <c r="Q175" s="43" t="s">
        <v>93</v>
      </c>
      <c r="R175" s="43"/>
      <c r="S175" s="43"/>
      <c r="T175" s="43"/>
      <c r="U175" s="36"/>
    </row>
    <row r="176" spans="1:21" s="5" customFormat="1" ht="120" x14ac:dyDescent="0.25">
      <c r="A176" s="48"/>
      <c r="B176" s="48"/>
      <c r="C176" s="74"/>
      <c r="D176" s="43" t="s">
        <v>700</v>
      </c>
      <c r="E176" s="43">
        <v>8112.32</v>
      </c>
      <c r="F176" s="43">
        <v>303</v>
      </c>
      <c r="G176" s="43">
        <v>64</v>
      </c>
      <c r="H176" s="43">
        <v>64</v>
      </c>
      <c r="I176" s="43">
        <v>112.68</v>
      </c>
      <c r="J176" s="43">
        <v>112.68</v>
      </c>
      <c r="K176" s="48"/>
      <c r="L176" s="43" t="s">
        <v>699</v>
      </c>
      <c r="M176" s="43" t="s">
        <v>702</v>
      </c>
      <c r="N176" s="43"/>
      <c r="O176" s="2">
        <v>42606</v>
      </c>
      <c r="P176" s="2" t="s">
        <v>813</v>
      </c>
      <c r="Q176" s="43" t="s">
        <v>93</v>
      </c>
      <c r="R176" s="43"/>
      <c r="S176" s="43"/>
      <c r="T176" s="43"/>
      <c r="U176" s="36"/>
    </row>
    <row r="177" spans="1:21" s="5" customFormat="1" ht="135" x14ac:dyDescent="0.25">
      <c r="A177" s="48"/>
      <c r="B177" s="48"/>
      <c r="C177" s="74"/>
      <c r="D177" s="43" t="s">
        <v>975</v>
      </c>
      <c r="E177" s="43">
        <v>17440.47</v>
      </c>
      <c r="F177" s="43">
        <v>606.71</v>
      </c>
      <c r="G177" s="43">
        <v>1</v>
      </c>
      <c r="H177" s="43">
        <v>1</v>
      </c>
      <c r="I177" s="43">
        <v>1.43</v>
      </c>
      <c r="J177" s="43">
        <v>1.43</v>
      </c>
      <c r="K177" s="48"/>
      <c r="L177" s="43" t="s">
        <v>699</v>
      </c>
      <c r="M177" s="43" t="s">
        <v>701</v>
      </c>
      <c r="N177" s="43"/>
      <c r="O177" s="2">
        <v>42702</v>
      </c>
      <c r="P177" s="2" t="s">
        <v>813</v>
      </c>
      <c r="Q177" s="43" t="s">
        <v>93</v>
      </c>
      <c r="R177" s="43"/>
      <c r="S177" s="43"/>
      <c r="T177" s="43"/>
      <c r="U177" s="36"/>
    </row>
    <row r="178" spans="1:21" s="5" customFormat="1" ht="135" x14ac:dyDescent="0.25">
      <c r="A178" s="48"/>
      <c r="B178" s="48"/>
      <c r="C178" s="74"/>
      <c r="D178" s="43" t="s">
        <v>976</v>
      </c>
      <c r="E178" s="43">
        <v>17312.29</v>
      </c>
      <c r="F178" s="43">
        <v>606.71</v>
      </c>
      <c r="G178" s="43">
        <v>1</v>
      </c>
      <c r="H178" s="43">
        <v>1</v>
      </c>
      <c r="I178" s="43">
        <v>1.43</v>
      </c>
      <c r="J178" s="43">
        <v>1.43</v>
      </c>
      <c r="K178" s="48"/>
      <c r="L178" s="43" t="s">
        <v>699</v>
      </c>
      <c r="M178" s="43"/>
      <c r="N178" s="43"/>
      <c r="O178" s="2">
        <v>42702</v>
      </c>
      <c r="P178" s="2" t="s">
        <v>977</v>
      </c>
      <c r="Q178" s="43" t="s">
        <v>93</v>
      </c>
      <c r="R178" s="43"/>
      <c r="S178" s="43"/>
      <c r="T178" s="43"/>
      <c r="U178" s="36"/>
    </row>
    <row r="179" spans="1:21" s="5" customFormat="1" ht="135" x14ac:dyDescent="0.25">
      <c r="A179" s="48"/>
      <c r="B179" s="48"/>
      <c r="C179" s="74"/>
      <c r="D179" s="43" t="s">
        <v>981</v>
      </c>
      <c r="E179" s="43">
        <v>21813.040000000001</v>
      </c>
      <c r="F179" s="43">
        <v>1159</v>
      </c>
      <c r="G179" s="43">
        <v>1</v>
      </c>
      <c r="H179" s="43">
        <v>1</v>
      </c>
      <c r="I179" s="43">
        <v>1.02</v>
      </c>
      <c r="J179" s="43">
        <v>1.02</v>
      </c>
      <c r="K179" s="48"/>
      <c r="L179" s="43" t="s">
        <v>979</v>
      </c>
      <c r="M179" s="43"/>
      <c r="N179" s="43"/>
      <c r="O179" s="2">
        <v>42725</v>
      </c>
      <c r="P179" s="2" t="s">
        <v>980</v>
      </c>
      <c r="Q179" s="43" t="s">
        <v>680</v>
      </c>
      <c r="R179" s="43"/>
      <c r="S179" s="43"/>
      <c r="T179" s="43"/>
      <c r="U179" s="36"/>
    </row>
    <row r="180" spans="1:21" s="5" customFormat="1" ht="135" x14ac:dyDescent="0.25">
      <c r="A180" s="48"/>
      <c r="B180" s="48"/>
      <c r="C180" s="74"/>
      <c r="D180" s="43" t="s">
        <v>857</v>
      </c>
      <c r="E180" s="43">
        <v>35258.51</v>
      </c>
      <c r="F180" s="43">
        <v>1849</v>
      </c>
      <c r="G180" s="43">
        <v>1</v>
      </c>
      <c r="H180" s="43">
        <v>1</v>
      </c>
      <c r="I180" s="43">
        <v>1.43</v>
      </c>
      <c r="J180" s="43">
        <v>1.43</v>
      </c>
      <c r="K180" s="48"/>
      <c r="L180" s="43" t="s">
        <v>979</v>
      </c>
      <c r="M180" s="43"/>
      <c r="N180" s="43"/>
      <c r="O180" s="2">
        <v>42726</v>
      </c>
      <c r="P180" s="2" t="s">
        <v>980</v>
      </c>
      <c r="Q180" s="43"/>
      <c r="R180" s="43"/>
      <c r="S180" s="43"/>
      <c r="T180" s="43"/>
      <c r="U180" s="36"/>
    </row>
    <row r="181" spans="1:21" s="5" customFormat="1" ht="135" x14ac:dyDescent="0.25">
      <c r="A181" s="48"/>
      <c r="B181" s="48"/>
      <c r="C181" s="74"/>
      <c r="D181" s="43" t="s">
        <v>858</v>
      </c>
      <c r="E181" s="43">
        <v>30415.21</v>
      </c>
      <c r="F181" s="43">
        <v>1592</v>
      </c>
      <c r="G181" s="43">
        <v>1</v>
      </c>
      <c r="H181" s="43">
        <v>1</v>
      </c>
      <c r="I181" s="43">
        <v>1.02</v>
      </c>
      <c r="J181" s="43">
        <v>1.02</v>
      </c>
      <c r="K181" s="48"/>
      <c r="L181" s="43" t="s">
        <v>982</v>
      </c>
      <c r="M181" s="43"/>
      <c r="N181" s="43"/>
      <c r="O181" s="2">
        <v>42726</v>
      </c>
      <c r="P181" s="2" t="s">
        <v>980</v>
      </c>
      <c r="Q181" s="43"/>
      <c r="R181" s="43"/>
      <c r="S181" s="43"/>
      <c r="T181" s="43"/>
      <c r="U181" s="36"/>
    </row>
    <row r="182" spans="1:21" s="5" customFormat="1" ht="135" x14ac:dyDescent="0.25">
      <c r="A182" s="48"/>
      <c r="B182" s="48"/>
      <c r="C182" s="74"/>
      <c r="D182" s="43" t="s">
        <v>859</v>
      </c>
      <c r="E182" s="43">
        <v>17829.939999999999</v>
      </c>
      <c r="F182" s="43">
        <v>944</v>
      </c>
      <c r="G182" s="43">
        <v>1</v>
      </c>
      <c r="H182" s="43">
        <v>1</v>
      </c>
      <c r="I182" s="43">
        <v>1.02</v>
      </c>
      <c r="J182" s="43">
        <v>1.02</v>
      </c>
      <c r="K182" s="48"/>
      <c r="L182" s="43" t="s">
        <v>982</v>
      </c>
      <c r="M182" s="43"/>
      <c r="N182" s="43"/>
      <c r="O182" s="2">
        <v>42726</v>
      </c>
      <c r="P182" s="2" t="s">
        <v>980</v>
      </c>
      <c r="Q182" s="43"/>
      <c r="R182" s="43"/>
      <c r="S182" s="43"/>
      <c r="T182" s="43"/>
      <c r="U182" s="36"/>
    </row>
    <row r="183" spans="1:21" s="5" customFormat="1" ht="135" x14ac:dyDescent="0.25">
      <c r="A183" s="49"/>
      <c r="B183" s="49"/>
      <c r="C183" s="75"/>
      <c r="D183" s="43" t="s">
        <v>978</v>
      </c>
      <c r="E183" s="43">
        <v>17829.939999999999</v>
      </c>
      <c r="F183" s="43">
        <v>944</v>
      </c>
      <c r="G183" s="43">
        <v>1</v>
      </c>
      <c r="H183" s="43">
        <v>1</v>
      </c>
      <c r="I183" s="43">
        <v>1.02</v>
      </c>
      <c r="J183" s="43">
        <v>1.02</v>
      </c>
      <c r="K183" s="49"/>
      <c r="L183" s="43" t="s">
        <v>979</v>
      </c>
      <c r="M183" s="43"/>
      <c r="N183" s="43"/>
      <c r="O183" s="2">
        <v>42732</v>
      </c>
      <c r="P183" s="2" t="s">
        <v>980</v>
      </c>
      <c r="Q183" s="43" t="s">
        <v>680</v>
      </c>
      <c r="R183" s="43"/>
      <c r="S183" s="43"/>
      <c r="T183" s="43"/>
      <c r="U183" s="36"/>
    </row>
    <row r="184" spans="1:21" s="5" customFormat="1" ht="105" x14ac:dyDescent="0.25">
      <c r="A184" s="43">
        <v>64</v>
      </c>
      <c r="B184" s="43" t="s">
        <v>451</v>
      </c>
      <c r="C184" s="43" t="s">
        <v>1017</v>
      </c>
      <c r="D184" s="43" t="s">
        <v>306</v>
      </c>
      <c r="E184" s="43">
        <v>8175.4</v>
      </c>
      <c r="F184" s="43">
        <v>2930.8</v>
      </c>
      <c r="G184" s="43">
        <v>209</v>
      </c>
      <c r="H184" s="43">
        <v>192</v>
      </c>
      <c r="I184" s="96">
        <v>367.1</v>
      </c>
      <c r="J184" s="43">
        <v>324.63</v>
      </c>
      <c r="K184" s="43">
        <f>39.5+67.8+47.5+24.5</f>
        <v>179.3</v>
      </c>
      <c r="L184" s="43" t="s">
        <v>765</v>
      </c>
      <c r="M184" s="43" t="s">
        <v>307</v>
      </c>
      <c r="N184" s="43" t="s">
        <v>78</v>
      </c>
      <c r="O184" s="2">
        <v>42193</v>
      </c>
      <c r="P184" s="2" t="s">
        <v>78</v>
      </c>
      <c r="Q184" s="43" t="s">
        <v>314</v>
      </c>
      <c r="R184" s="43" t="s">
        <v>156</v>
      </c>
      <c r="S184" s="43"/>
      <c r="T184" s="43"/>
      <c r="U184" s="43"/>
    </row>
    <row r="185" spans="1:21" s="5" customFormat="1" ht="75" x14ac:dyDescent="0.25">
      <c r="A185" s="43">
        <v>65</v>
      </c>
      <c r="B185" s="43" t="s">
        <v>629</v>
      </c>
      <c r="C185" s="43" t="s">
        <v>910</v>
      </c>
      <c r="D185" s="43" t="s">
        <v>630</v>
      </c>
      <c r="E185" s="43">
        <v>1996.09</v>
      </c>
      <c r="F185" s="43">
        <v>348.89</v>
      </c>
      <c r="G185" s="43">
        <v>36</v>
      </c>
      <c r="H185" s="43">
        <f>26+8</f>
        <v>34</v>
      </c>
      <c r="I185" s="43">
        <v>71.545000000000002</v>
      </c>
      <c r="J185" s="43">
        <v>67.972999999999999</v>
      </c>
      <c r="K185" s="43">
        <f>7.711+16.168+18.878+21.689</f>
        <v>64.445999999999998</v>
      </c>
      <c r="L185" s="43" t="s">
        <v>631</v>
      </c>
      <c r="M185" s="2" t="s">
        <v>179</v>
      </c>
      <c r="N185" s="43" t="s">
        <v>166</v>
      </c>
      <c r="O185" s="2">
        <v>42224</v>
      </c>
      <c r="P185" s="2">
        <v>42916</v>
      </c>
      <c r="Q185" s="43" t="s">
        <v>93</v>
      </c>
      <c r="R185" s="17" t="s">
        <v>26</v>
      </c>
      <c r="S185" s="17"/>
      <c r="T185" s="43"/>
      <c r="U185" s="43"/>
    </row>
    <row r="186" spans="1:21" s="5" customFormat="1" ht="105" customHeight="1" x14ac:dyDescent="0.25">
      <c r="A186" s="47">
        <v>66</v>
      </c>
      <c r="B186" s="47" t="s">
        <v>391</v>
      </c>
      <c r="C186" s="47" t="s">
        <v>964</v>
      </c>
      <c r="D186" s="43" t="s">
        <v>776</v>
      </c>
      <c r="E186" s="47">
        <v>26116.44</v>
      </c>
      <c r="F186" s="47">
        <v>1801</v>
      </c>
      <c r="G186" s="43">
        <v>226</v>
      </c>
      <c r="H186" s="43" t="s">
        <v>26</v>
      </c>
      <c r="I186" s="43">
        <v>461</v>
      </c>
      <c r="J186" s="43" t="s">
        <v>26</v>
      </c>
      <c r="K186" s="47">
        <f>97+24+42+67</f>
        <v>230</v>
      </c>
      <c r="L186" s="47" t="s">
        <v>414</v>
      </c>
      <c r="M186" s="43" t="s">
        <v>422</v>
      </c>
      <c r="N186" s="43"/>
      <c r="O186" s="2">
        <v>42150</v>
      </c>
      <c r="P186" s="2" t="s">
        <v>792</v>
      </c>
      <c r="Q186" s="43" t="s">
        <v>26</v>
      </c>
      <c r="R186" s="17">
        <v>1</v>
      </c>
      <c r="S186" s="17"/>
      <c r="T186" s="43" t="s">
        <v>415</v>
      </c>
      <c r="U186" s="34"/>
    </row>
    <row r="187" spans="1:21" s="5" customFormat="1" ht="105" x14ac:dyDescent="0.25">
      <c r="A187" s="48"/>
      <c r="B187" s="48"/>
      <c r="C187" s="48"/>
      <c r="D187" s="43" t="s">
        <v>537</v>
      </c>
      <c r="E187" s="48"/>
      <c r="F187" s="48"/>
      <c r="G187" s="43">
        <v>92</v>
      </c>
      <c r="H187" s="43" t="s">
        <v>26</v>
      </c>
      <c r="I187" s="43">
        <v>184</v>
      </c>
      <c r="J187" s="43" t="s">
        <v>26</v>
      </c>
      <c r="K187" s="48"/>
      <c r="L187" s="48"/>
      <c r="M187" s="43" t="s">
        <v>423</v>
      </c>
      <c r="N187" s="43"/>
      <c r="O187" s="2">
        <v>42237</v>
      </c>
      <c r="P187" s="2" t="s">
        <v>792</v>
      </c>
      <c r="Q187" s="43" t="s">
        <v>26</v>
      </c>
      <c r="R187" s="17">
        <v>1</v>
      </c>
      <c r="S187" s="43" t="s">
        <v>780</v>
      </c>
      <c r="T187" s="43" t="s">
        <v>1072</v>
      </c>
      <c r="U187" s="43"/>
    </row>
    <row r="188" spans="1:21" s="5" customFormat="1" ht="105" x14ac:dyDescent="0.25">
      <c r="A188" s="48"/>
      <c r="B188" s="48"/>
      <c r="C188" s="48"/>
      <c r="D188" s="43" t="s">
        <v>538</v>
      </c>
      <c r="E188" s="48"/>
      <c r="F188" s="48"/>
      <c r="G188" s="43">
        <v>39</v>
      </c>
      <c r="H188" s="43" t="s">
        <v>26</v>
      </c>
      <c r="I188" s="43">
        <v>78</v>
      </c>
      <c r="J188" s="43" t="s">
        <v>26</v>
      </c>
      <c r="K188" s="48"/>
      <c r="L188" s="48"/>
      <c r="M188" s="43" t="s">
        <v>423</v>
      </c>
      <c r="N188" s="43" t="s">
        <v>540</v>
      </c>
      <c r="O188" s="2">
        <v>42237</v>
      </c>
      <c r="P188" s="2" t="s">
        <v>792</v>
      </c>
      <c r="Q188" s="43" t="s">
        <v>26</v>
      </c>
      <c r="R188" s="43"/>
      <c r="S188" s="43"/>
      <c r="T188" s="43"/>
      <c r="U188" s="43"/>
    </row>
    <row r="189" spans="1:21" s="5" customFormat="1" ht="105" x14ac:dyDescent="0.25">
      <c r="A189" s="48"/>
      <c r="B189" s="48"/>
      <c r="C189" s="48"/>
      <c r="D189" s="43" t="s">
        <v>539</v>
      </c>
      <c r="E189" s="49"/>
      <c r="F189" s="49"/>
      <c r="G189" s="43">
        <v>11</v>
      </c>
      <c r="H189" s="43" t="s">
        <v>26</v>
      </c>
      <c r="I189" s="43">
        <v>27</v>
      </c>
      <c r="J189" s="43" t="s">
        <v>26</v>
      </c>
      <c r="K189" s="48"/>
      <c r="L189" s="49"/>
      <c r="M189" s="43" t="s">
        <v>423</v>
      </c>
      <c r="N189" s="43" t="s">
        <v>541</v>
      </c>
      <c r="O189" s="2">
        <v>42237</v>
      </c>
      <c r="P189" s="2" t="s">
        <v>792</v>
      </c>
      <c r="Q189" s="43" t="s">
        <v>26</v>
      </c>
      <c r="R189" s="43"/>
      <c r="S189" s="43"/>
      <c r="T189" s="43"/>
      <c r="U189" s="43"/>
    </row>
    <row r="190" spans="1:21" s="5" customFormat="1" ht="90" x14ac:dyDescent="0.25">
      <c r="A190" s="48"/>
      <c r="B190" s="48"/>
      <c r="C190" s="48"/>
      <c r="D190" s="43" t="s">
        <v>416</v>
      </c>
      <c r="E190" s="36">
        <v>44739</v>
      </c>
      <c r="F190" s="36">
        <v>3235</v>
      </c>
      <c r="G190" s="43">
        <v>1</v>
      </c>
      <c r="H190" s="43" t="s">
        <v>26</v>
      </c>
      <c r="I190" s="43">
        <v>2</v>
      </c>
      <c r="J190" s="43" t="s">
        <v>26</v>
      </c>
      <c r="K190" s="48"/>
      <c r="L190" s="50" t="s">
        <v>94</v>
      </c>
      <c r="M190" s="43" t="s">
        <v>536</v>
      </c>
      <c r="N190" s="43"/>
      <c r="O190" s="2">
        <v>42468</v>
      </c>
      <c r="P190" s="2" t="s">
        <v>793</v>
      </c>
      <c r="Q190" s="43" t="s">
        <v>26</v>
      </c>
      <c r="R190" s="43"/>
      <c r="S190" s="43"/>
      <c r="T190" s="43"/>
      <c r="U190" s="43"/>
    </row>
    <row r="191" spans="1:21" s="5" customFormat="1" ht="90" x14ac:dyDescent="0.25">
      <c r="A191" s="49"/>
      <c r="B191" s="49"/>
      <c r="C191" s="49"/>
      <c r="D191" s="43" t="s">
        <v>417</v>
      </c>
      <c r="E191" s="36">
        <v>15422</v>
      </c>
      <c r="F191" s="36">
        <v>1034</v>
      </c>
      <c r="G191" s="43">
        <v>1</v>
      </c>
      <c r="H191" s="43" t="s">
        <v>26</v>
      </c>
      <c r="I191" s="43">
        <v>2</v>
      </c>
      <c r="J191" s="43" t="s">
        <v>26</v>
      </c>
      <c r="K191" s="49"/>
      <c r="L191" s="50"/>
      <c r="M191" s="43" t="s">
        <v>536</v>
      </c>
      <c r="N191" s="43"/>
      <c r="O191" s="2">
        <v>42468</v>
      </c>
      <c r="P191" s="2" t="s">
        <v>793</v>
      </c>
      <c r="Q191" s="43" t="s">
        <v>26</v>
      </c>
      <c r="R191" s="43"/>
      <c r="S191" s="43"/>
      <c r="T191" s="43"/>
      <c r="U191" s="43"/>
    </row>
    <row r="192" spans="1:21" s="5" customFormat="1" ht="90" x14ac:dyDescent="0.25">
      <c r="A192" s="43">
        <v>67</v>
      </c>
      <c r="B192" s="43" t="s">
        <v>584</v>
      </c>
      <c r="C192" s="43"/>
      <c r="D192" s="43" t="s">
        <v>263</v>
      </c>
      <c r="E192" s="43">
        <v>13689.94</v>
      </c>
      <c r="F192" s="43">
        <f>380.18+646.49</f>
        <v>1026.67</v>
      </c>
      <c r="G192" s="43">
        <v>289</v>
      </c>
      <c r="H192" s="43">
        <v>259</v>
      </c>
      <c r="I192" s="43">
        <v>540</v>
      </c>
      <c r="J192" s="43">
        <v>426</v>
      </c>
      <c r="K192" s="43">
        <f>129+83+47</f>
        <v>259</v>
      </c>
      <c r="L192" s="43" t="s">
        <v>264</v>
      </c>
      <c r="M192" s="43" t="s">
        <v>265</v>
      </c>
      <c r="N192" s="43" t="s">
        <v>14</v>
      </c>
      <c r="O192" s="2">
        <v>42139</v>
      </c>
      <c r="P192" s="2" t="s">
        <v>14</v>
      </c>
      <c r="Q192" s="43" t="s">
        <v>401</v>
      </c>
      <c r="R192" s="43" t="s">
        <v>26</v>
      </c>
      <c r="S192" s="43" t="s">
        <v>595</v>
      </c>
      <c r="T192" s="43"/>
      <c r="U192" s="43"/>
    </row>
    <row r="193" spans="1:21" s="5" customFormat="1" ht="75" x14ac:dyDescent="0.25">
      <c r="A193" s="43">
        <v>68</v>
      </c>
      <c r="B193" s="43" t="s">
        <v>632</v>
      </c>
      <c r="C193" s="43" t="s">
        <v>917</v>
      </c>
      <c r="D193" s="43" t="s">
        <v>633</v>
      </c>
      <c r="E193" s="43">
        <f>5874.3+3208.89</f>
        <v>9083.19</v>
      </c>
      <c r="F193" s="43">
        <f>335.85+186.11+142.96+61.77</f>
        <v>726.69</v>
      </c>
      <c r="G193" s="43">
        <v>99</v>
      </c>
      <c r="H193" s="43">
        <v>59</v>
      </c>
      <c r="I193" s="43">
        <v>288</v>
      </c>
      <c r="J193" s="43">
        <v>109.83</v>
      </c>
      <c r="K193" s="43">
        <f>4+10+31+45</f>
        <v>90</v>
      </c>
      <c r="L193" s="43" t="s">
        <v>201</v>
      </c>
      <c r="M193" s="43" t="s">
        <v>200</v>
      </c>
      <c r="N193" s="43"/>
      <c r="O193" s="2">
        <v>42360</v>
      </c>
      <c r="P193" s="2" t="s">
        <v>718</v>
      </c>
      <c r="Q193" s="43" t="s">
        <v>21</v>
      </c>
      <c r="R193" s="43" t="s">
        <v>26</v>
      </c>
      <c r="S193" s="43"/>
      <c r="T193" s="43"/>
      <c r="U193" s="43"/>
    </row>
    <row r="194" spans="1:21" s="5" customFormat="1" ht="150" x14ac:dyDescent="0.25">
      <c r="A194" s="43">
        <v>69</v>
      </c>
      <c r="B194" s="43" t="s">
        <v>649</v>
      </c>
      <c r="C194" s="43" t="s">
        <v>883</v>
      </c>
      <c r="D194" s="43" t="s">
        <v>261</v>
      </c>
      <c r="E194" s="43">
        <v>1123.2</v>
      </c>
      <c r="F194" s="43">
        <v>0</v>
      </c>
      <c r="G194" s="43">
        <v>1</v>
      </c>
      <c r="H194" s="43">
        <v>0</v>
      </c>
      <c r="I194" s="43">
        <v>41.298000000000002</v>
      </c>
      <c r="J194" s="43">
        <v>0</v>
      </c>
      <c r="K194" s="43">
        <f>0</f>
        <v>0</v>
      </c>
      <c r="L194" s="43" t="s">
        <v>260</v>
      </c>
      <c r="M194" s="43" t="s">
        <v>262</v>
      </c>
      <c r="N194" s="43"/>
      <c r="O194" s="2">
        <v>42411</v>
      </c>
      <c r="P194" s="2" t="s">
        <v>817</v>
      </c>
      <c r="Q194" s="43" t="s">
        <v>26</v>
      </c>
      <c r="R194" s="43" t="s">
        <v>26</v>
      </c>
      <c r="S194" s="43"/>
      <c r="T194" s="43"/>
      <c r="U194" s="43"/>
    </row>
    <row r="195" spans="1:21" s="5" customFormat="1" ht="195" x14ac:dyDescent="0.25">
      <c r="A195" s="47">
        <v>70</v>
      </c>
      <c r="B195" s="47" t="s">
        <v>356</v>
      </c>
      <c r="C195" s="47" t="s">
        <v>892</v>
      </c>
      <c r="D195" s="43" t="s">
        <v>834</v>
      </c>
      <c r="E195" s="43">
        <f>8022.8+2555</f>
        <v>10577.8</v>
      </c>
      <c r="F195" s="43">
        <f>2112.4+1008</f>
        <v>3120.4</v>
      </c>
      <c r="G195" s="43">
        <v>92</v>
      </c>
      <c r="H195" s="43" t="s">
        <v>26</v>
      </c>
      <c r="I195" s="43">
        <v>191</v>
      </c>
      <c r="J195" s="43" t="s">
        <v>26</v>
      </c>
      <c r="K195" s="47">
        <f>12.441+36.367+46.356+44.174+48</f>
        <v>187.33799999999999</v>
      </c>
      <c r="L195" s="43" t="s">
        <v>512</v>
      </c>
      <c r="M195" s="43" t="s">
        <v>513</v>
      </c>
      <c r="N195" s="43"/>
      <c r="O195" s="2">
        <v>42093</v>
      </c>
      <c r="P195" s="2" t="s">
        <v>14</v>
      </c>
      <c r="Q195" s="47" t="s">
        <v>593</v>
      </c>
      <c r="R195" s="17">
        <v>1</v>
      </c>
      <c r="S195" s="17"/>
      <c r="T195" s="43" t="s">
        <v>514</v>
      </c>
      <c r="U195" s="43" t="s">
        <v>837</v>
      </c>
    </row>
    <row r="196" spans="1:21" s="5" customFormat="1" ht="165" x14ac:dyDescent="0.25">
      <c r="A196" s="48"/>
      <c r="B196" s="48"/>
      <c r="C196" s="48"/>
      <c r="D196" s="43" t="s">
        <v>835</v>
      </c>
      <c r="E196" s="43">
        <v>7371.69</v>
      </c>
      <c r="F196" s="43">
        <v>2288.6999999999998</v>
      </c>
      <c r="G196" s="43">
        <v>113</v>
      </c>
      <c r="H196" s="43">
        <f>51+31</f>
        <v>82</v>
      </c>
      <c r="I196" s="43">
        <v>240.4</v>
      </c>
      <c r="J196" s="43">
        <f>121.3+54.956</f>
        <v>176.256</v>
      </c>
      <c r="K196" s="48"/>
      <c r="L196" s="43" t="s">
        <v>512</v>
      </c>
      <c r="M196" s="43" t="s">
        <v>836</v>
      </c>
      <c r="N196" s="43"/>
      <c r="O196" s="2">
        <v>42450</v>
      </c>
      <c r="P196" s="2" t="s">
        <v>340</v>
      </c>
      <c r="Q196" s="48"/>
      <c r="R196" s="17"/>
      <c r="S196" s="17"/>
      <c r="T196" s="43"/>
      <c r="U196" s="43"/>
    </row>
    <row r="197" spans="1:21" s="5" customFormat="1" ht="105" x14ac:dyDescent="0.25">
      <c r="A197" s="43">
        <v>71</v>
      </c>
      <c r="B197" s="43" t="s">
        <v>866</v>
      </c>
      <c r="C197" s="43" t="s">
        <v>1018</v>
      </c>
      <c r="D197" s="43" t="s">
        <v>1019</v>
      </c>
      <c r="E197" s="43">
        <v>2668.48</v>
      </c>
      <c r="F197" s="43">
        <v>502</v>
      </c>
      <c r="G197" s="43">
        <v>52</v>
      </c>
      <c r="H197" s="43">
        <v>50</v>
      </c>
      <c r="I197" s="43">
        <v>88.1</v>
      </c>
      <c r="J197" s="43">
        <v>69.811000000000007</v>
      </c>
      <c r="K197" s="43">
        <f>1.7+4.1+0+1.2</f>
        <v>7</v>
      </c>
      <c r="L197" s="43" t="s">
        <v>592</v>
      </c>
      <c r="M197" s="43" t="s">
        <v>469</v>
      </c>
      <c r="N197" s="43" t="s">
        <v>470</v>
      </c>
      <c r="O197" s="2">
        <v>41767</v>
      </c>
      <c r="P197" s="2" t="s">
        <v>819</v>
      </c>
      <c r="Q197" s="43" t="s">
        <v>594</v>
      </c>
      <c r="R197" s="43">
        <v>87</v>
      </c>
      <c r="S197" s="43"/>
      <c r="T197" s="43" t="s">
        <v>1020</v>
      </c>
      <c r="U197" s="43"/>
    </row>
    <row r="198" spans="1:21" s="5" customFormat="1" ht="120" x14ac:dyDescent="0.25">
      <c r="A198" s="34">
        <v>72</v>
      </c>
      <c r="B198" s="34" t="s">
        <v>666</v>
      </c>
      <c r="C198" s="34" t="s">
        <v>1021</v>
      </c>
      <c r="D198" s="43" t="s">
        <v>366</v>
      </c>
      <c r="E198" s="43">
        <v>1332.07</v>
      </c>
      <c r="F198" s="43">
        <v>0</v>
      </c>
      <c r="G198" s="43">
        <v>12</v>
      </c>
      <c r="H198" s="43">
        <v>12</v>
      </c>
      <c r="I198" s="43">
        <v>24.5</v>
      </c>
      <c r="J198" s="43">
        <v>24.5</v>
      </c>
      <c r="K198" s="43">
        <f>2.1+2.8+10.7+6.2</f>
        <v>21.8</v>
      </c>
      <c r="L198" s="43" t="s">
        <v>667</v>
      </c>
      <c r="M198" s="43" t="s">
        <v>367</v>
      </c>
      <c r="N198" s="43"/>
      <c r="O198" s="2">
        <v>42418</v>
      </c>
      <c r="P198" s="2" t="s">
        <v>816</v>
      </c>
      <c r="Q198" s="43" t="s">
        <v>26</v>
      </c>
      <c r="R198" s="17">
        <v>0.9</v>
      </c>
      <c r="S198" s="43"/>
      <c r="T198" s="43"/>
      <c r="U198" s="43"/>
    </row>
    <row r="199" spans="1:21" s="5" customFormat="1" ht="105" customHeight="1" x14ac:dyDescent="0.25">
      <c r="A199" s="47">
        <v>73</v>
      </c>
      <c r="B199" s="47" t="s">
        <v>251</v>
      </c>
      <c r="C199" s="47" t="s">
        <v>1031</v>
      </c>
      <c r="D199" s="43" t="s">
        <v>91</v>
      </c>
      <c r="E199" s="43">
        <v>222.3</v>
      </c>
      <c r="F199" s="43">
        <v>0</v>
      </c>
      <c r="G199" s="43">
        <v>2</v>
      </c>
      <c r="H199" s="43">
        <v>2</v>
      </c>
      <c r="I199" s="43">
        <v>6.6</v>
      </c>
      <c r="J199" s="43">
        <v>6.6</v>
      </c>
      <c r="K199" s="47">
        <f>0+7.55+40.9+25.375</f>
        <v>73.824999999999989</v>
      </c>
      <c r="L199" s="43" t="s">
        <v>92</v>
      </c>
      <c r="M199" s="43" t="s">
        <v>252</v>
      </c>
      <c r="N199" s="43"/>
      <c r="O199" s="2">
        <v>42346</v>
      </c>
      <c r="P199" s="2" t="s">
        <v>153</v>
      </c>
      <c r="Q199" s="43"/>
      <c r="R199" s="43">
        <v>100</v>
      </c>
      <c r="S199" s="43"/>
      <c r="T199" s="43" t="s">
        <v>437</v>
      </c>
      <c r="U199" s="43" t="s">
        <v>828</v>
      </c>
    </row>
    <row r="200" spans="1:21" s="5" customFormat="1" ht="105" x14ac:dyDescent="0.25">
      <c r="A200" s="48"/>
      <c r="B200" s="48"/>
      <c r="C200" s="48"/>
      <c r="D200" s="43" t="s">
        <v>653</v>
      </c>
      <c r="E200" s="43">
        <v>745</v>
      </c>
      <c r="F200" s="43">
        <v>0</v>
      </c>
      <c r="G200" s="43">
        <v>10</v>
      </c>
      <c r="H200" s="43">
        <v>10</v>
      </c>
      <c r="I200" s="43">
        <v>25.1</v>
      </c>
      <c r="J200" s="43">
        <v>25.1</v>
      </c>
      <c r="K200" s="48"/>
      <c r="L200" s="43" t="s">
        <v>456</v>
      </c>
      <c r="M200" s="43" t="s">
        <v>455</v>
      </c>
      <c r="N200" s="43"/>
      <c r="O200" s="2">
        <v>42531</v>
      </c>
      <c r="P200" s="2" t="s">
        <v>718</v>
      </c>
      <c r="Q200" s="43" t="s">
        <v>93</v>
      </c>
      <c r="R200" s="43" t="s">
        <v>26</v>
      </c>
      <c r="S200" s="43"/>
      <c r="T200" s="43"/>
      <c r="U200" s="43"/>
    </row>
    <row r="201" spans="1:21" s="5" customFormat="1" ht="105" x14ac:dyDescent="0.25">
      <c r="A201" s="48"/>
      <c r="B201" s="48"/>
      <c r="C201" s="48"/>
      <c r="D201" s="43" t="s">
        <v>654</v>
      </c>
      <c r="E201" s="43">
        <v>745</v>
      </c>
      <c r="F201" s="43">
        <v>0</v>
      </c>
      <c r="G201" s="43">
        <v>9</v>
      </c>
      <c r="H201" s="43">
        <v>9</v>
      </c>
      <c r="I201" s="43">
        <v>23.31</v>
      </c>
      <c r="J201" s="43">
        <v>23.31</v>
      </c>
      <c r="K201" s="48"/>
      <c r="L201" s="43" t="s">
        <v>655</v>
      </c>
      <c r="M201" s="43" t="s">
        <v>455</v>
      </c>
      <c r="N201" s="43"/>
      <c r="O201" s="2">
        <v>42563</v>
      </c>
      <c r="P201" s="2" t="s">
        <v>718</v>
      </c>
      <c r="Q201" s="43" t="s">
        <v>93</v>
      </c>
      <c r="R201" s="43" t="s">
        <v>26</v>
      </c>
      <c r="S201" s="43"/>
      <c r="T201" s="43"/>
      <c r="U201" s="43"/>
    </row>
    <row r="202" spans="1:21" s="5" customFormat="1" ht="105" x14ac:dyDescent="0.25">
      <c r="A202" s="48"/>
      <c r="B202" s="48"/>
      <c r="C202" s="48"/>
      <c r="D202" s="43" t="s">
        <v>1032</v>
      </c>
      <c r="E202" s="43">
        <v>770</v>
      </c>
      <c r="F202" s="43">
        <v>0</v>
      </c>
      <c r="G202" s="43">
        <v>8</v>
      </c>
      <c r="H202" s="43">
        <v>8</v>
      </c>
      <c r="I202" s="43">
        <v>19.850000000000001</v>
      </c>
      <c r="J202" s="43">
        <v>19.850000000000001</v>
      </c>
      <c r="K202" s="48"/>
      <c r="L202" s="43" t="s">
        <v>1033</v>
      </c>
      <c r="M202" s="43" t="s">
        <v>658</v>
      </c>
      <c r="N202" s="43"/>
      <c r="O202" s="2">
        <v>42662</v>
      </c>
      <c r="P202" s="2" t="s">
        <v>718</v>
      </c>
      <c r="Q202" s="43" t="s">
        <v>93</v>
      </c>
      <c r="R202" s="43" t="s">
        <v>26</v>
      </c>
      <c r="S202" s="43"/>
      <c r="T202" s="43"/>
      <c r="U202" s="43"/>
    </row>
    <row r="203" spans="1:21" s="5" customFormat="1" ht="120" x14ac:dyDescent="0.25">
      <c r="A203" s="49"/>
      <c r="B203" s="49"/>
      <c r="C203" s="49"/>
      <c r="D203" s="43" t="s">
        <v>656</v>
      </c>
      <c r="E203" s="43">
        <v>223.6</v>
      </c>
      <c r="F203" s="43">
        <v>0</v>
      </c>
      <c r="G203" s="43">
        <v>2</v>
      </c>
      <c r="H203" s="43">
        <v>2</v>
      </c>
      <c r="I203" s="43">
        <v>7.5</v>
      </c>
      <c r="J203" s="43">
        <v>7.5</v>
      </c>
      <c r="K203" s="49"/>
      <c r="L203" s="43" t="s">
        <v>657</v>
      </c>
      <c r="M203" s="43" t="s">
        <v>658</v>
      </c>
      <c r="N203" s="43"/>
      <c r="O203" s="2">
        <v>42633</v>
      </c>
      <c r="P203" s="2" t="s">
        <v>718</v>
      </c>
      <c r="Q203" s="43" t="s">
        <v>93</v>
      </c>
      <c r="R203" s="43" t="s">
        <v>26</v>
      </c>
      <c r="S203" s="43"/>
      <c r="T203" s="43"/>
      <c r="U203" s="43"/>
    </row>
    <row r="204" spans="1:21" s="5" customFormat="1" ht="120" x14ac:dyDescent="0.25">
      <c r="A204" s="32">
        <v>74</v>
      </c>
      <c r="B204" s="34" t="s">
        <v>368</v>
      </c>
      <c r="C204" s="34" t="s">
        <v>988</v>
      </c>
      <c r="D204" s="34" t="s">
        <v>774</v>
      </c>
      <c r="E204" s="34">
        <v>2596.65</v>
      </c>
      <c r="F204" s="34">
        <v>0</v>
      </c>
      <c r="G204" s="34">
        <v>23</v>
      </c>
      <c r="H204" s="34" t="s">
        <v>26</v>
      </c>
      <c r="I204" s="34">
        <v>43.38</v>
      </c>
      <c r="J204" s="34" t="s">
        <v>26</v>
      </c>
      <c r="K204" s="34">
        <f>7.02+5.99+9.06+13.11</f>
        <v>35.18</v>
      </c>
      <c r="L204" s="34" t="s">
        <v>180</v>
      </c>
      <c r="M204" s="34" t="s">
        <v>488</v>
      </c>
      <c r="N204" s="34" t="s">
        <v>775</v>
      </c>
      <c r="O204" s="9">
        <v>42254</v>
      </c>
      <c r="P204" s="9">
        <v>42852</v>
      </c>
      <c r="Q204" s="43" t="s">
        <v>26</v>
      </c>
      <c r="R204" s="43" t="s">
        <v>26</v>
      </c>
      <c r="S204" s="34"/>
      <c r="T204" s="34"/>
      <c r="U204" s="34"/>
    </row>
    <row r="205" spans="1:21" s="5" customFormat="1" ht="105" customHeight="1" x14ac:dyDescent="0.25">
      <c r="A205" s="47">
        <v>75</v>
      </c>
      <c r="B205" s="47" t="s">
        <v>669</v>
      </c>
      <c r="C205" s="47" t="s">
        <v>912</v>
      </c>
      <c r="D205" s="43" t="s">
        <v>670</v>
      </c>
      <c r="E205" s="43">
        <v>1521.95</v>
      </c>
      <c r="F205" s="43"/>
      <c r="G205" s="43">
        <v>30</v>
      </c>
      <c r="H205" s="43">
        <v>28</v>
      </c>
      <c r="I205" s="43">
        <v>36.612000000000002</v>
      </c>
      <c r="J205" s="43">
        <v>34.57</v>
      </c>
      <c r="K205" s="47">
        <f>12.23+9.805+5.463+6.56</f>
        <v>34.058</v>
      </c>
      <c r="L205" s="43" t="s">
        <v>111</v>
      </c>
      <c r="M205" s="43" t="s">
        <v>112</v>
      </c>
      <c r="N205" s="2"/>
      <c r="O205" s="2">
        <v>42347</v>
      </c>
      <c r="P205" s="2">
        <v>42825</v>
      </c>
      <c r="Q205" s="43" t="s">
        <v>93</v>
      </c>
      <c r="R205" s="17">
        <v>1</v>
      </c>
      <c r="S205" s="43"/>
      <c r="T205" s="43" t="s">
        <v>913</v>
      </c>
      <c r="U205" s="43"/>
    </row>
    <row r="206" spans="1:21" s="5" customFormat="1" ht="120" x14ac:dyDescent="0.25">
      <c r="A206" s="49"/>
      <c r="B206" s="49"/>
      <c r="C206" s="49"/>
      <c r="D206" s="43" t="s">
        <v>671</v>
      </c>
      <c r="E206" s="43">
        <v>1246</v>
      </c>
      <c r="F206" s="43"/>
      <c r="G206" s="43">
        <v>1</v>
      </c>
      <c r="H206" s="43">
        <v>1</v>
      </c>
      <c r="I206" s="43">
        <v>2.2559999999999998</v>
      </c>
      <c r="J206" s="43">
        <v>2.2559999999999998</v>
      </c>
      <c r="K206" s="49"/>
      <c r="L206" s="43" t="s">
        <v>672</v>
      </c>
      <c r="M206" s="43" t="s">
        <v>673</v>
      </c>
      <c r="N206" s="43" t="s">
        <v>327</v>
      </c>
      <c r="O206" s="2">
        <v>42615</v>
      </c>
      <c r="P206" s="2">
        <v>43008</v>
      </c>
      <c r="Q206" s="43" t="s">
        <v>93</v>
      </c>
      <c r="R206" s="17">
        <v>0.13</v>
      </c>
      <c r="S206" s="43"/>
      <c r="T206" s="43"/>
      <c r="U206" s="43"/>
    </row>
    <row r="207" spans="1:21" s="5" customFormat="1" ht="90" x14ac:dyDescent="0.25">
      <c r="A207" s="97">
        <v>76</v>
      </c>
      <c r="B207" s="43" t="s">
        <v>728</v>
      </c>
      <c r="C207" s="43" t="s">
        <v>1010</v>
      </c>
      <c r="D207" s="43" t="s">
        <v>502</v>
      </c>
      <c r="E207" s="43">
        <v>909.2</v>
      </c>
      <c r="F207" s="43">
        <v>0</v>
      </c>
      <c r="G207" s="43">
        <v>1</v>
      </c>
      <c r="H207" s="43">
        <v>0</v>
      </c>
      <c r="I207" s="43">
        <v>34.844000000000001</v>
      </c>
      <c r="J207" s="43">
        <v>0</v>
      </c>
      <c r="K207" s="43">
        <f>0+13.938+3.847</f>
        <v>17.785</v>
      </c>
      <c r="L207" s="43" t="s">
        <v>501</v>
      </c>
      <c r="M207" s="43" t="s">
        <v>503</v>
      </c>
      <c r="N207" s="43"/>
      <c r="O207" s="2">
        <v>42354</v>
      </c>
      <c r="P207" s="2">
        <v>42673</v>
      </c>
      <c r="Q207" s="43" t="s">
        <v>93</v>
      </c>
      <c r="R207" s="17">
        <v>1</v>
      </c>
      <c r="S207" s="43"/>
      <c r="T207" s="43" t="s">
        <v>934</v>
      </c>
      <c r="U207" s="43" t="s">
        <v>153</v>
      </c>
    </row>
    <row r="208" spans="1:21" s="5" customFormat="1" ht="90" x14ac:dyDescent="0.25">
      <c r="A208" s="43">
        <v>77</v>
      </c>
      <c r="B208" s="1" t="s">
        <v>373</v>
      </c>
      <c r="C208" s="1" t="s">
        <v>911</v>
      </c>
      <c r="D208" s="1" t="s">
        <v>772</v>
      </c>
      <c r="E208" s="1">
        <v>811.36</v>
      </c>
      <c r="F208" s="1">
        <v>0</v>
      </c>
      <c r="G208" s="1">
        <v>1</v>
      </c>
      <c r="H208" s="1">
        <v>0</v>
      </c>
      <c r="I208" s="1">
        <v>24.102</v>
      </c>
      <c r="J208" s="1">
        <v>0</v>
      </c>
      <c r="K208" s="1">
        <f>4.82+7.76+2.578</f>
        <v>15.157999999999999</v>
      </c>
      <c r="L208" s="1" t="s">
        <v>117</v>
      </c>
      <c r="M208" s="1" t="s">
        <v>461</v>
      </c>
      <c r="N208" s="1"/>
      <c r="O208" s="88">
        <v>42360</v>
      </c>
      <c r="P208" s="88">
        <v>42644</v>
      </c>
      <c r="Q208" s="1" t="s">
        <v>26</v>
      </c>
      <c r="R208" s="98">
        <v>1</v>
      </c>
      <c r="S208" s="1"/>
      <c r="T208" s="1" t="s">
        <v>773</v>
      </c>
      <c r="U208" s="1"/>
    </row>
    <row r="209" spans="1:21" s="5" customFormat="1" ht="90" x14ac:dyDescent="0.25">
      <c r="A209" s="99">
        <v>78</v>
      </c>
      <c r="B209" s="1" t="s">
        <v>240</v>
      </c>
      <c r="C209" s="1" t="s">
        <v>916</v>
      </c>
      <c r="D209" s="1" t="s">
        <v>624</v>
      </c>
      <c r="E209" s="1">
        <v>7090.9</v>
      </c>
      <c r="F209" s="1">
        <v>926.9</v>
      </c>
      <c r="G209" s="1">
        <v>120</v>
      </c>
      <c r="H209" s="1">
        <f>95+22</f>
        <v>117</v>
      </c>
      <c r="I209" s="1">
        <v>256.58999999999997</v>
      </c>
      <c r="J209" s="1">
        <v>246.37100000000001</v>
      </c>
      <c r="K209" s="1">
        <f>15.963+69.971+60.538+46.651</f>
        <v>193.12299999999999</v>
      </c>
      <c r="L209" s="1" t="s">
        <v>239</v>
      </c>
      <c r="M209" s="1" t="s">
        <v>238</v>
      </c>
      <c r="N209" s="88"/>
      <c r="O209" s="88">
        <v>42425</v>
      </c>
      <c r="P209" s="88" t="s">
        <v>823</v>
      </c>
      <c r="Q209" s="1" t="s">
        <v>625</v>
      </c>
      <c r="R209" s="100">
        <v>0.88300000000000001</v>
      </c>
      <c r="S209" s="1"/>
      <c r="T209" s="1"/>
      <c r="U209" s="1"/>
    </row>
    <row r="210" spans="1:21" s="5" customFormat="1" ht="120" customHeight="1" x14ac:dyDescent="0.25">
      <c r="A210" s="47">
        <v>79</v>
      </c>
      <c r="B210" s="47" t="s">
        <v>621</v>
      </c>
      <c r="C210" s="47" t="s">
        <v>1014</v>
      </c>
      <c r="D210" s="43" t="s">
        <v>319</v>
      </c>
      <c r="E210" s="43">
        <v>3401.6</v>
      </c>
      <c r="F210" s="43">
        <v>0</v>
      </c>
      <c r="G210" s="43">
        <v>10</v>
      </c>
      <c r="H210" s="43">
        <v>10</v>
      </c>
      <c r="I210" s="43">
        <v>22.1</v>
      </c>
      <c r="J210" s="43">
        <v>22.1</v>
      </c>
      <c r="K210" s="47">
        <f>6.2+3+3.7+7.1</f>
        <v>20</v>
      </c>
      <c r="L210" s="43" t="s">
        <v>1036</v>
      </c>
      <c r="M210" s="43" t="s">
        <v>320</v>
      </c>
      <c r="N210" s="43"/>
      <c r="O210" s="2">
        <v>42411</v>
      </c>
      <c r="P210" s="2" t="s">
        <v>78</v>
      </c>
      <c r="Q210" s="43" t="s">
        <v>93</v>
      </c>
      <c r="R210" s="43" t="s">
        <v>156</v>
      </c>
      <c r="S210" s="43"/>
      <c r="T210" s="43"/>
      <c r="U210" s="43"/>
    </row>
    <row r="211" spans="1:21" s="5" customFormat="1" ht="105" x14ac:dyDescent="0.25">
      <c r="A211" s="49"/>
      <c r="B211" s="49"/>
      <c r="C211" s="49"/>
      <c r="D211" s="43" t="s">
        <v>530</v>
      </c>
      <c r="E211" s="43">
        <v>4054.4</v>
      </c>
      <c r="F211" s="43"/>
      <c r="G211" s="43">
        <v>5</v>
      </c>
      <c r="H211" s="43">
        <v>5</v>
      </c>
      <c r="I211" s="43">
        <v>8.4</v>
      </c>
      <c r="J211" s="43">
        <v>8.4</v>
      </c>
      <c r="K211" s="49"/>
      <c r="L211" s="43" t="s">
        <v>623</v>
      </c>
      <c r="M211" s="43" t="s">
        <v>622</v>
      </c>
      <c r="N211" s="43"/>
      <c r="O211" s="2">
        <v>42592</v>
      </c>
      <c r="P211" s="2" t="s">
        <v>813</v>
      </c>
      <c r="Q211" s="43" t="s">
        <v>93</v>
      </c>
      <c r="R211" s="43" t="s">
        <v>156</v>
      </c>
      <c r="S211" s="43"/>
      <c r="T211" s="43"/>
      <c r="U211" s="66"/>
    </row>
    <row r="212" spans="1:21" s="5" customFormat="1" ht="105" x14ac:dyDescent="0.25">
      <c r="A212" s="43">
        <v>80</v>
      </c>
      <c r="B212" s="43" t="s">
        <v>618</v>
      </c>
      <c r="C212" s="43" t="s">
        <v>877</v>
      </c>
      <c r="D212" s="43" t="s">
        <v>619</v>
      </c>
      <c r="E212" s="43">
        <v>1344</v>
      </c>
      <c r="F212" s="43">
        <f>157.7+86.4</f>
        <v>244.1</v>
      </c>
      <c r="G212" s="43">
        <v>7</v>
      </c>
      <c r="H212" s="43">
        <v>1</v>
      </c>
      <c r="I212" s="43">
        <v>12.1</v>
      </c>
      <c r="J212" s="43">
        <v>1.6</v>
      </c>
      <c r="K212" s="43">
        <f>0</f>
        <v>0</v>
      </c>
      <c r="L212" s="43" t="s">
        <v>388</v>
      </c>
      <c r="M212" s="43" t="s">
        <v>389</v>
      </c>
      <c r="N212" s="43"/>
      <c r="O212" s="2">
        <v>42629</v>
      </c>
      <c r="P212" s="2" t="s">
        <v>1071</v>
      </c>
      <c r="Q212" s="43" t="s">
        <v>93</v>
      </c>
      <c r="R212" s="43" t="s">
        <v>156</v>
      </c>
      <c r="S212" s="43"/>
      <c r="T212" s="43"/>
      <c r="U212" s="66"/>
    </row>
    <row r="213" spans="1:21" s="5" customFormat="1" ht="150" x14ac:dyDescent="0.25">
      <c r="A213" s="43">
        <v>81</v>
      </c>
      <c r="B213" s="43" t="s">
        <v>395</v>
      </c>
      <c r="C213" s="43" t="s">
        <v>946</v>
      </c>
      <c r="D213" s="43" t="s">
        <v>457</v>
      </c>
      <c r="E213" s="43">
        <v>4445.46</v>
      </c>
      <c r="F213" s="43">
        <v>662.37</v>
      </c>
      <c r="G213" s="43">
        <v>29</v>
      </c>
      <c r="H213" s="43">
        <v>13</v>
      </c>
      <c r="I213" s="43">
        <v>89.15</v>
      </c>
      <c r="J213" s="43">
        <v>54.63</v>
      </c>
      <c r="K213" s="43">
        <f>13.1+20.89+24.75</f>
        <v>58.74</v>
      </c>
      <c r="L213" s="43" t="s">
        <v>458</v>
      </c>
      <c r="M213" s="43" t="s">
        <v>459</v>
      </c>
      <c r="N213" s="43" t="s">
        <v>703</v>
      </c>
      <c r="O213" s="2">
        <v>42506</v>
      </c>
      <c r="P213" s="2" t="s">
        <v>703</v>
      </c>
      <c r="Q213" s="43" t="s">
        <v>93</v>
      </c>
      <c r="R213" s="77">
        <v>0.60599999999999998</v>
      </c>
      <c r="S213" s="43"/>
      <c r="T213" s="43"/>
      <c r="U213" s="43"/>
    </row>
    <row r="214" spans="1:21" s="5" customFormat="1" ht="120" x14ac:dyDescent="0.25">
      <c r="A214" s="43">
        <v>82</v>
      </c>
      <c r="B214" s="43" t="s">
        <v>392</v>
      </c>
      <c r="C214" s="43" t="s">
        <v>944</v>
      </c>
      <c r="D214" s="43" t="s">
        <v>393</v>
      </c>
      <c r="E214" s="43">
        <v>2732.4</v>
      </c>
      <c r="F214" s="43">
        <f>956.3+159.6</f>
        <v>1115.8999999999999</v>
      </c>
      <c r="G214" s="43">
        <v>1</v>
      </c>
      <c r="H214" s="43">
        <v>1</v>
      </c>
      <c r="I214" s="43">
        <v>4.9000000000000004</v>
      </c>
      <c r="J214" s="43">
        <v>4.9000000000000004</v>
      </c>
      <c r="K214" s="43">
        <f>0.65+0.75</f>
        <v>1.4</v>
      </c>
      <c r="L214" s="43" t="s">
        <v>626</v>
      </c>
      <c r="M214" s="43" t="s">
        <v>394</v>
      </c>
      <c r="N214" s="43"/>
      <c r="O214" s="2">
        <v>42594</v>
      </c>
      <c r="P214" s="2" t="s">
        <v>791</v>
      </c>
      <c r="Q214" s="43" t="s">
        <v>26</v>
      </c>
      <c r="R214" s="43" t="s">
        <v>26</v>
      </c>
      <c r="S214" s="43"/>
      <c r="T214" s="43"/>
      <c r="U214" s="43"/>
    </row>
    <row r="215" spans="1:21" s="5" customFormat="1" ht="252" customHeight="1" x14ac:dyDescent="0.25">
      <c r="A215" s="43">
        <v>83</v>
      </c>
      <c r="B215" s="43" t="s">
        <v>519</v>
      </c>
      <c r="C215" s="43" t="s">
        <v>1005</v>
      </c>
      <c r="D215" s="43" t="s">
        <v>520</v>
      </c>
      <c r="E215" s="43">
        <v>996.01</v>
      </c>
      <c r="F215" s="43">
        <v>671.46</v>
      </c>
      <c r="G215" s="43">
        <v>14</v>
      </c>
      <c r="H215" s="43" t="s">
        <v>26</v>
      </c>
      <c r="I215" s="43">
        <v>40.046999999999997</v>
      </c>
      <c r="J215" s="43" t="s">
        <v>26</v>
      </c>
      <c r="K215" s="43">
        <f>3.725+24.883</f>
        <v>28.608000000000001</v>
      </c>
      <c r="L215" s="43" t="s">
        <v>447</v>
      </c>
      <c r="M215" s="43" t="s">
        <v>518</v>
      </c>
      <c r="N215" s="43" t="s">
        <v>166</v>
      </c>
      <c r="O215" s="2">
        <v>42537</v>
      </c>
      <c r="P215" s="2" t="s">
        <v>166</v>
      </c>
      <c r="Q215" s="43" t="s">
        <v>26</v>
      </c>
      <c r="R215" s="43" t="s">
        <v>26</v>
      </c>
      <c r="S215" s="43"/>
      <c r="T215" s="43"/>
      <c r="U215" s="43"/>
    </row>
    <row r="216" spans="1:21" s="5" customFormat="1" ht="180" x14ac:dyDescent="0.25">
      <c r="A216" s="43">
        <v>84</v>
      </c>
      <c r="B216" s="43" t="s">
        <v>462</v>
      </c>
      <c r="C216" s="43" t="s">
        <v>1009</v>
      </c>
      <c r="D216" s="43" t="s">
        <v>464</v>
      </c>
      <c r="E216" s="43">
        <v>3504.3</v>
      </c>
      <c r="F216" s="43">
        <v>0</v>
      </c>
      <c r="G216" s="43">
        <v>1</v>
      </c>
      <c r="H216" s="43" t="s">
        <v>26</v>
      </c>
      <c r="I216" s="43">
        <v>2</v>
      </c>
      <c r="J216" s="43" t="s">
        <v>26</v>
      </c>
      <c r="K216" s="43">
        <f>0+0</f>
        <v>0</v>
      </c>
      <c r="L216" s="43" t="s">
        <v>463</v>
      </c>
      <c r="M216" s="43" t="s">
        <v>465</v>
      </c>
      <c r="N216" s="43"/>
      <c r="O216" s="2">
        <v>42501</v>
      </c>
      <c r="P216" s="2" t="s">
        <v>327</v>
      </c>
      <c r="Q216" s="43" t="s">
        <v>93</v>
      </c>
      <c r="R216" s="43" t="s">
        <v>26</v>
      </c>
      <c r="S216" s="43"/>
      <c r="T216" s="43"/>
      <c r="U216" s="43"/>
    </row>
    <row r="217" spans="1:21" s="5" customFormat="1" ht="75" x14ac:dyDescent="0.25">
      <c r="A217" s="99">
        <v>85</v>
      </c>
      <c r="B217" s="1" t="s">
        <v>525</v>
      </c>
      <c r="C217" s="1"/>
      <c r="D217" s="1" t="s">
        <v>526</v>
      </c>
      <c r="E217" s="1">
        <v>1264.1300000000001</v>
      </c>
      <c r="F217" s="1">
        <v>0</v>
      </c>
      <c r="G217" s="1">
        <v>1</v>
      </c>
      <c r="H217" s="1">
        <v>0</v>
      </c>
      <c r="I217" s="1">
        <v>44.337000000000003</v>
      </c>
      <c r="J217" s="1">
        <v>0</v>
      </c>
      <c r="K217" s="1">
        <f>0</f>
        <v>0</v>
      </c>
      <c r="L217" s="1" t="s">
        <v>527</v>
      </c>
      <c r="M217" s="43" t="s">
        <v>528</v>
      </c>
      <c r="N217" s="1"/>
      <c r="O217" s="88">
        <v>42290</v>
      </c>
      <c r="P217" s="88"/>
      <c r="Q217" s="43" t="s">
        <v>529</v>
      </c>
      <c r="R217" s="1" t="s">
        <v>26</v>
      </c>
      <c r="S217" s="1"/>
      <c r="T217" s="1"/>
      <c r="U217" s="1"/>
    </row>
    <row r="218" spans="1:21" s="5" customFormat="1" ht="105" x14ac:dyDescent="0.25">
      <c r="A218" s="43">
        <v>86</v>
      </c>
      <c r="B218" s="43" t="s">
        <v>1074</v>
      </c>
      <c r="C218" s="43" t="s">
        <v>896</v>
      </c>
      <c r="D218" s="43" t="s">
        <v>1075</v>
      </c>
      <c r="E218" s="43">
        <v>6542.5</v>
      </c>
      <c r="F218" s="43">
        <v>839.37</v>
      </c>
      <c r="G218" s="43">
        <v>6</v>
      </c>
      <c r="H218" s="43">
        <v>1</v>
      </c>
      <c r="I218" s="43">
        <v>13.1</v>
      </c>
      <c r="J218" s="43">
        <v>1.81</v>
      </c>
      <c r="K218" s="43">
        <v>1.8</v>
      </c>
      <c r="L218" s="43" t="s">
        <v>549</v>
      </c>
      <c r="M218" s="43" t="s">
        <v>548</v>
      </c>
      <c r="N218" s="43" t="s">
        <v>328</v>
      </c>
      <c r="O218" s="2">
        <v>42719</v>
      </c>
      <c r="P218" s="2" t="s">
        <v>897</v>
      </c>
      <c r="Q218" s="43" t="s">
        <v>778</v>
      </c>
      <c r="R218" s="43"/>
      <c r="S218" s="43"/>
      <c r="T218" s="43"/>
      <c r="U218" s="43"/>
    </row>
    <row r="219" spans="1:21" s="5" customFormat="1" ht="75" x14ac:dyDescent="0.25">
      <c r="A219" s="43">
        <v>87</v>
      </c>
      <c r="B219" s="43" t="s">
        <v>551</v>
      </c>
      <c r="C219" s="43"/>
      <c r="D219" s="43" t="s">
        <v>550</v>
      </c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2"/>
      <c r="P219" s="2"/>
      <c r="Q219" s="43"/>
      <c r="R219" s="43"/>
      <c r="S219" s="43"/>
      <c r="T219" s="43"/>
      <c r="U219" s="43"/>
    </row>
    <row r="220" spans="1:21" s="5" customFormat="1" ht="165" x14ac:dyDescent="0.25">
      <c r="A220" s="47">
        <v>88</v>
      </c>
      <c r="B220" s="47" t="s">
        <v>646</v>
      </c>
      <c r="C220" s="47" t="s">
        <v>878</v>
      </c>
      <c r="D220" s="43" t="s">
        <v>647</v>
      </c>
      <c r="E220" s="43">
        <f>1902.85+2817.07+3271.24</f>
        <v>7991.16</v>
      </c>
      <c r="F220" s="43">
        <v>497.34</v>
      </c>
      <c r="G220" s="43">
        <v>12</v>
      </c>
      <c r="H220" s="43">
        <v>8</v>
      </c>
      <c r="I220" s="43">
        <v>21</v>
      </c>
      <c r="J220" s="43">
        <v>13.74</v>
      </c>
      <c r="K220" s="47">
        <f>0+7</f>
        <v>7</v>
      </c>
      <c r="L220" s="43" t="s">
        <v>865</v>
      </c>
      <c r="M220" s="43" t="s">
        <v>1039</v>
      </c>
      <c r="N220" s="43"/>
      <c r="O220" s="2">
        <v>42663</v>
      </c>
      <c r="P220" s="2" t="s">
        <v>327</v>
      </c>
      <c r="Q220" s="43" t="s">
        <v>625</v>
      </c>
      <c r="R220" s="43" t="s">
        <v>26</v>
      </c>
      <c r="S220" s="43"/>
      <c r="T220" s="43"/>
      <c r="U220" s="43"/>
    </row>
    <row r="221" spans="1:21" s="5" customFormat="1" ht="165" x14ac:dyDescent="0.25">
      <c r="A221" s="49"/>
      <c r="B221" s="49"/>
      <c r="C221" s="49"/>
      <c r="D221" s="43" t="s">
        <v>879</v>
      </c>
      <c r="E221" s="43">
        <v>6604.9</v>
      </c>
      <c r="F221" s="43">
        <v>277.73</v>
      </c>
      <c r="G221" s="43">
        <v>1</v>
      </c>
      <c r="H221" s="43">
        <v>0</v>
      </c>
      <c r="I221" s="43">
        <v>2</v>
      </c>
      <c r="J221" s="43">
        <v>0</v>
      </c>
      <c r="K221" s="49"/>
      <c r="L221" s="43" t="s">
        <v>1076</v>
      </c>
      <c r="M221" s="43" t="s">
        <v>880</v>
      </c>
      <c r="N221" s="43"/>
      <c r="O221" s="2">
        <v>42690</v>
      </c>
      <c r="P221" s="2" t="s">
        <v>809</v>
      </c>
      <c r="Q221" s="43" t="s">
        <v>26</v>
      </c>
      <c r="R221" s="43" t="s">
        <v>26</v>
      </c>
      <c r="S221" s="43"/>
      <c r="T221" s="43"/>
      <c r="U221" s="43"/>
    </row>
    <row r="222" spans="1:21" s="5" customFormat="1" ht="135" x14ac:dyDescent="0.25">
      <c r="A222" s="47">
        <v>90</v>
      </c>
      <c r="B222" s="47" t="s">
        <v>575</v>
      </c>
      <c r="C222" s="47" t="s">
        <v>1030</v>
      </c>
      <c r="D222" s="43" t="s">
        <v>1041</v>
      </c>
      <c r="E222" s="43">
        <v>1427</v>
      </c>
      <c r="F222" s="43">
        <v>0</v>
      </c>
      <c r="G222" s="43">
        <v>10</v>
      </c>
      <c r="H222" s="43">
        <v>10</v>
      </c>
      <c r="I222" s="43">
        <v>33.700000000000003</v>
      </c>
      <c r="J222" s="43">
        <v>33.700000000000003</v>
      </c>
      <c r="K222" s="47">
        <f>16.57+40.88</f>
        <v>57.45</v>
      </c>
      <c r="L222" s="43" t="s">
        <v>737</v>
      </c>
      <c r="M222" s="43" t="s">
        <v>1040</v>
      </c>
      <c r="N222" s="43"/>
      <c r="O222" s="2">
        <v>42612</v>
      </c>
      <c r="P222" s="2" t="s">
        <v>718</v>
      </c>
      <c r="Q222" s="43" t="s">
        <v>93</v>
      </c>
      <c r="R222" s="17">
        <v>0.86</v>
      </c>
      <c r="S222" s="43"/>
      <c r="T222" s="43"/>
      <c r="U222" s="43"/>
    </row>
    <row r="223" spans="1:21" s="5" customFormat="1" ht="135" x14ac:dyDescent="0.25">
      <c r="A223" s="48"/>
      <c r="B223" s="48"/>
      <c r="C223" s="48"/>
      <c r="D223" s="43" t="s">
        <v>1042</v>
      </c>
      <c r="E223" s="43">
        <v>770</v>
      </c>
      <c r="F223" s="43">
        <v>0</v>
      </c>
      <c r="G223" s="43">
        <v>10</v>
      </c>
      <c r="H223" s="43">
        <v>10</v>
      </c>
      <c r="I223" s="43">
        <v>25</v>
      </c>
      <c r="J223" s="43">
        <v>25</v>
      </c>
      <c r="K223" s="48"/>
      <c r="L223" s="43" t="s">
        <v>1046</v>
      </c>
      <c r="M223" s="43" t="s">
        <v>1043</v>
      </c>
      <c r="N223" s="43"/>
      <c r="O223" s="2">
        <v>42657</v>
      </c>
      <c r="P223" s="2" t="s">
        <v>718</v>
      </c>
      <c r="Q223" s="43" t="s">
        <v>93</v>
      </c>
      <c r="R223" s="17">
        <v>0.84</v>
      </c>
      <c r="S223" s="43"/>
      <c r="T223" s="43"/>
      <c r="U223" s="43"/>
    </row>
    <row r="224" spans="1:21" s="5" customFormat="1" ht="120" x14ac:dyDescent="0.25">
      <c r="A224" s="48"/>
      <c r="B224" s="48"/>
      <c r="C224" s="48"/>
      <c r="D224" s="43" t="s">
        <v>1044</v>
      </c>
      <c r="E224" s="43">
        <v>223.6</v>
      </c>
      <c r="F224" s="43">
        <v>0</v>
      </c>
      <c r="G224" s="43">
        <v>1</v>
      </c>
      <c r="H224" s="43">
        <v>1</v>
      </c>
      <c r="I224" s="43">
        <v>3.75</v>
      </c>
      <c r="J224" s="43">
        <v>3.75</v>
      </c>
      <c r="K224" s="49"/>
      <c r="L224" s="43" t="s">
        <v>1045</v>
      </c>
      <c r="M224" s="43" t="s">
        <v>1043</v>
      </c>
      <c r="N224" s="43"/>
      <c r="O224" s="2">
        <v>42657</v>
      </c>
      <c r="P224" s="2" t="s">
        <v>718</v>
      </c>
      <c r="Q224" s="43" t="s">
        <v>93</v>
      </c>
      <c r="R224" s="17">
        <v>0.82</v>
      </c>
      <c r="S224" s="43"/>
      <c r="T224" s="43"/>
      <c r="U224" s="43"/>
    </row>
    <row r="225" spans="1:21" s="5" customFormat="1" ht="105" x14ac:dyDescent="0.25">
      <c r="A225" s="43">
        <v>91</v>
      </c>
      <c r="B225" s="43" t="s">
        <v>578</v>
      </c>
      <c r="C225" s="43"/>
      <c r="D225" s="43" t="s">
        <v>579</v>
      </c>
      <c r="E225" s="43"/>
      <c r="F225" s="43"/>
      <c r="G225" s="43"/>
      <c r="H225" s="43"/>
      <c r="I225" s="43"/>
      <c r="J225" s="43"/>
      <c r="K225" s="43"/>
      <c r="L225" s="43" t="s">
        <v>580</v>
      </c>
      <c r="M225" s="43"/>
      <c r="N225" s="43"/>
      <c r="O225" s="2">
        <v>42765</v>
      </c>
      <c r="P225" s="2" t="s">
        <v>854</v>
      </c>
      <c r="Q225" s="43" t="s">
        <v>581</v>
      </c>
      <c r="R225" s="43"/>
      <c r="S225" s="43"/>
      <c r="T225" s="43"/>
      <c r="U225" s="43"/>
    </row>
    <row r="226" spans="1:21" s="5" customFormat="1" ht="150" x14ac:dyDescent="0.25">
      <c r="A226" s="43">
        <v>92</v>
      </c>
      <c r="B226" s="43" t="s">
        <v>582</v>
      </c>
      <c r="C226" s="43" t="s">
        <v>1006</v>
      </c>
      <c r="D226" s="43" t="s">
        <v>739</v>
      </c>
      <c r="E226" s="43">
        <v>6309.63</v>
      </c>
      <c r="F226" s="43">
        <v>1458.14</v>
      </c>
      <c r="G226" s="43">
        <v>19</v>
      </c>
      <c r="H226" s="43">
        <v>19</v>
      </c>
      <c r="I226" s="43">
        <v>58.6</v>
      </c>
      <c r="J226" s="43">
        <v>58.6</v>
      </c>
      <c r="K226" s="43">
        <f>0+9.5</f>
        <v>9.5</v>
      </c>
      <c r="L226" s="43" t="s">
        <v>583</v>
      </c>
      <c r="M226" s="43" t="s">
        <v>740</v>
      </c>
      <c r="N226" s="43"/>
      <c r="O226" s="2">
        <v>42576</v>
      </c>
      <c r="P226" s="2" t="s">
        <v>718</v>
      </c>
      <c r="Q226" s="43" t="s">
        <v>93</v>
      </c>
      <c r="R226" s="43"/>
      <c r="S226" s="43"/>
      <c r="T226" s="43"/>
      <c r="U226" s="43"/>
    </row>
    <row r="227" spans="1:21" s="5" customFormat="1" ht="150" x14ac:dyDescent="0.25">
      <c r="A227" s="43">
        <v>93</v>
      </c>
      <c r="B227" s="43" t="s">
        <v>918</v>
      </c>
      <c r="C227" s="43" t="s">
        <v>919</v>
      </c>
      <c r="D227" s="43" t="s">
        <v>639</v>
      </c>
      <c r="E227" s="43">
        <v>1595.06</v>
      </c>
      <c r="F227" s="43">
        <v>0</v>
      </c>
      <c r="G227" s="43">
        <v>13</v>
      </c>
      <c r="H227" s="43">
        <v>13</v>
      </c>
      <c r="I227" s="43">
        <v>19</v>
      </c>
      <c r="J227" s="43">
        <v>19</v>
      </c>
      <c r="K227" s="43">
        <f>3.9+14.8</f>
        <v>18.7</v>
      </c>
      <c r="L227" s="43" t="s">
        <v>641</v>
      </c>
      <c r="M227" s="43" t="s">
        <v>640</v>
      </c>
      <c r="N227" s="43"/>
      <c r="O227" s="2">
        <v>42604</v>
      </c>
      <c r="P227" s="2">
        <v>43009</v>
      </c>
      <c r="Q227" s="43" t="s">
        <v>26</v>
      </c>
      <c r="R227" s="43" t="s">
        <v>26</v>
      </c>
      <c r="S227" s="43"/>
      <c r="T227" s="43" t="s">
        <v>920</v>
      </c>
      <c r="U227" s="43" t="s">
        <v>153</v>
      </c>
    </row>
    <row r="228" spans="1:21" s="5" customFormat="1" ht="105" x14ac:dyDescent="0.25">
      <c r="A228" s="47">
        <v>94</v>
      </c>
      <c r="B228" s="47" t="s">
        <v>733</v>
      </c>
      <c r="C228" s="47" t="s">
        <v>1023</v>
      </c>
      <c r="D228" s="43" t="s">
        <v>736</v>
      </c>
      <c r="E228" s="43">
        <v>15010.72</v>
      </c>
      <c r="F228" s="43">
        <v>879.67</v>
      </c>
      <c r="G228" s="43">
        <v>26</v>
      </c>
      <c r="H228" s="43">
        <v>25</v>
      </c>
      <c r="I228" s="43">
        <v>96.62</v>
      </c>
      <c r="J228" s="43">
        <v>93.68</v>
      </c>
      <c r="K228" s="47">
        <f>32.88+56.81</f>
        <v>89.69</v>
      </c>
      <c r="L228" s="47" t="s">
        <v>735</v>
      </c>
      <c r="M228" s="43" t="s">
        <v>734</v>
      </c>
      <c r="N228" s="43"/>
      <c r="O228" s="2">
        <v>42558</v>
      </c>
      <c r="P228" s="2" t="s">
        <v>718</v>
      </c>
      <c r="Q228" s="43" t="s">
        <v>26</v>
      </c>
      <c r="R228" s="43" t="s">
        <v>26</v>
      </c>
      <c r="S228" s="43"/>
      <c r="T228" s="43"/>
      <c r="U228" s="43"/>
    </row>
    <row r="229" spans="1:21" s="5" customFormat="1" ht="105" x14ac:dyDescent="0.25">
      <c r="A229" s="49"/>
      <c r="B229" s="49"/>
      <c r="C229" s="49"/>
      <c r="D229" s="43" t="s">
        <v>1024</v>
      </c>
      <c r="E229" s="43">
        <v>10817.95</v>
      </c>
      <c r="F229" s="43">
        <v>568.66999999999996</v>
      </c>
      <c r="G229" s="43">
        <v>1</v>
      </c>
      <c r="H229" s="43">
        <v>1</v>
      </c>
      <c r="I229" s="43">
        <v>1.43</v>
      </c>
      <c r="J229" s="43">
        <v>1.43</v>
      </c>
      <c r="K229" s="49"/>
      <c r="L229" s="49"/>
      <c r="M229" s="43" t="s">
        <v>734</v>
      </c>
      <c r="N229" s="43"/>
      <c r="O229" s="2">
        <v>42671</v>
      </c>
      <c r="P229" s="2" t="s">
        <v>1025</v>
      </c>
      <c r="Q229" s="43" t="s">
        <v>26</v>
      </c>
      <c r="R229" s="43" t="s">
        <v>26</v>
      </c>
      <c r="S229" s="43"/>
      <c r="T229" s="43"/>
      <c r="U229" s="43"/>
    </row>
    <row r="230" spans="1:21" s="5" customFormat="1" ht="90" x14ac:dyDescent="0.25">
      <c r="A230" s="43">
        <v>95</v>
      </c>
      <c r="B230" s="43" t="s">
        <v>843</v>
      </c>
      <c r="C230" s="43"/>
      <c r="D230" s="43" t="s">
        <v>838</v>
      </c>
      <c r="E230" s="43"/>
      <c r="F230" s="43"/>
      <c r="G230" s="43"/>
      <c r="H230" s="43"/>
      <c r="I230" s="43"/>
      <c r="J230" s="43"/>
      <c r="K230" s="43"/>
      <c r="L230" s="43" t="s">
        <v>839</v>
      </c>
      <c r="M230" s="43" t="s">
        <v>840</v>
      </c>
      <c r="N230" s="43"/>
      <c r="O230" s="2">
        <v>42730</v>
      </c>
      <c r="P230" s="2"/>
      <c r="Q230" s="43" t="s">
        <v>26</v>
      </c>
      <c r="R230" s="43" t="s">
        <v>26</v>
      </c>
      <c r="S230" s="43"/>
      <c r="T230" s="43"/>
      <c r="U230" s="43"/>
    </row>
    <row r="231" spans="1:21" s="5" customFormat="1" ht="90" x14ac:dyDescent="0.25">
      <c r="A231" s="43">
        <v>96</v>
      </c>
      <c r="B231" s="43" t="s">
        <v>844</v>
      </c>
      <c r="C231" s="43"/>
      <c r="D231" s="43" t="s">
        <v>845</v>
      </c>
      <c r="E231" s="43"/>
      <c r="F231" s="43"/>
      <c r="G231" s="43"/>
      <c r="H231" s="43"/>
      <c r="I231" s="43"/>
      <c r="J231" s="43"/>
      <c r="K231" s="43"/>
      <c r="L231" s="43" t="s">
        <v>839</v>
      </c>
      <c r="M231" s="43" t="s">
        <v>840</v>
      </c>
      <c r="N231" s="43"/>
      <c r="O231" s="2">
        <v>42734</v>
      </c>
      <c r="P231" s="2"/>
      <c r="Q231" s="43" t="s">
        <v>93</v>
      </c>
      <c r="R231" s="43" t="s">
        <v>26</v>
      </c>
      <c r="S231" s="43"/>
      <c r="T231" s="43"/>
      <c r="U231" s="43"/>
    </row>
    <row r="232" spans="1:21" s="4" customFormat="1" ht="90" x14ac:dyDescent="0.25">
      <c r="A232" s="43">
        <v>97</v>
      </c>
      <c r="B232" s="43" t="s">
        <v>850</v>
      </c>
      <c r="C232" s="43"/>
      <c r="D232" s="43" t="s">
        <v>847</v>
      </c>
      <c r="E232" s="43">
        <v>867.28</v>
      </c>
      <c r="F232" s="43">
        <v>0</v>
      </c>
      <c r="G232" s="31"/>
      <c r="H232" s="31"/>
      <c r="I232" s="31"/>
      <c r="J232" s="31"/>
      <c r="K232" s="31"/>
      <c r="L232" s="43" t="s">
        <v>851</v>
      </c>
      <c r="M232" s="43" t="s">
        <v>852</v>
      </c>
      <c r="N232" s="31"/>
      <c r="O232" s="31"/>
      <c r="P232" s="31"/>
      <c r="Q232" s="31"/>
      <c r="R232" s="31"/>
      <c r="S232" s="31"/>
      <c r="T232" s="31"/>
      <c r="U232" s="31"/>
    </row>
    <row r="233" spans="1:21" s="32" customFormat="1" ht="105" x14ac:dyDescent="0.25">
      <c r="A233" s="34">
        <v>98</v>
      </c>
      <c r="B233" s="47" t="s">
        <v>855</v>
      </c>
      <c r="C233" s="47" t="s">
        <v>994</v>
      </c>
      <c r="D233" s="43" t="s">
        <v>995</v>
      </c>
      <c r="E233" s="43">
        <v>11049.6</v>
      </c>
      <c r="F233" s="43">
        <v>645</v>
      </c>
      <c r="G233" s="43">
        <v>2</v>
      </c>
      <c r="H233" s="43">
        <v>2</v>
      </c>
      <c r="I233" s="43">
        <v>2.4</v>
      </c>
      <c r="J233" s="43">
        <v>2.4</v>
      </c>
      <c r="K233" s="47">
        <f>0</f>
        <v>0</v>
      </c>
      <c r="L233" s="47" t="s">
        <v>996</v>
      </c>
      <c r="M233" s="47" t="s">
        <v>1078</v>
      </c>
      <c r="N233" s="43"/>
      <c r="O233" s="2">
        <v>42734</v>
      </c>
      <c r="P233" s="47" t="s">
        <v>997</v>
      </c>
      <c r="Q233" s="47" t="s">
        <v>856</v>
      </c>
      <c r="R233" s="43"/>
      <c r="S233" s="43"/>
      <c r="T233" s="43"/>
      <c r="U233" s="43"/>
    </row>
    <row r="234" spans="1:21" s="32" customFormat="1" ht="105" x14ac:dyDescent="0.25">
      <c r="A234" s="35"/>
      <c r="B234" s="101"/>
      <c r="C234" s="48"/>
      <c r="D234" s="43" t="s">
        <v>998</v>
      </c>
      <c r="E234" s="43">
        <v>16224.64</v>
      </c>
      <c r="F234" s="43">
        <v>970</v>
      </c>
      <c r="G234" s="43">
        <v>1</v>
      </c>
      <c r="H234" s="43">
        <v>1</v>
      </c>
      <c r="I234" s="43">
        <v>1.02</v>
      </c>
      <c r="J234" s="43">
        <v>1.02</v>
      </c>
      <c r="K234" s="48"/>
      <c r="L234" s="48"/>
      <c r="M234" s="48"/>
      <c r="N234" s="43"/>
      <c r="O234" s="2">
        <v>42734</v>
      </c>
      <c r="P234" s="48"/>
      <c r="Q234" s="48"/>
      <c r="R234" s="43"/>
      <c r="S234" s="43"/>
      <c r="T234" s="43"/>
      <c r="U234" s="43"/>
    </row>
    <row r="235" spans="1:21" s="32" customFormat="1" ht="105" x14ac:dyDescent="0.25">
      <c r="A235" s="35"/>
      <c r="B235" s="101"/>
      <c r="C235" s="48"/>
      <c r="D235" s="43" t="s">
        <v>999</v>
      </c>
      <c r="E235" s="43">
        <v>31926.560000000001</v>
      </c>
      <c r="F235" s="43">
        <v>1859</v>
      </c>
      <c r="G235" s="43">
        <v>1</v>
      </c>
      <c r="H235" s="43">
        <v>1</v>
      </c>
      <c r="I235" s="43">
        <v>1.02</v>
      </c>
      <c r="J235" s="43">
        <v>1.02</v>
      </c>
      <c r="K235" s="48"/>
      <c r="L235" s="48"/>
      <c r="M235" s="48"/>
      <c r="N235" s="43"/>
      <c r="O235" s="2">
        <v>42734</v>
      </c>
      <c r="P235" s="48"/>
      <c r="Q235" s="48"/>
      <c r="R235" s="43"/>
      <c r="S235" s="43"/>
      <c r="T235" s="43"/>
      <c r="U235" s="43"/>
    </row>
    <row r="236" spans="1:21" s="32" customFormat="1" ht="105" x14ac:dyDescent="0.25">
      <c r="A236" s="36"/>
      <c r="B236" s="102"/>
      <c r="C236" s="49"/>
      <c r="D236" s="43" t="s">
        <v>1000</v>
      </c>
      <c r="E236" s="43">
        <v>16224.64</v>
      </c>
      <c r="F236" s="43">
        <v>913</v>
      </c>
      <c r="G236" s="43">
        <v>1</v>
      </c>
      <c r="H236" s="43">
        <v>1</v>
      </c>
      <c r="I236" s="43">
        <v>1.02</v>
      </c>
      <c r="J236" s="43">
        <v>1.02</v>
      </c>
      <c r="K236" s="49"/>
      <c r="L236" s="49"/>
      <c r="M236" s="49"/>
      <c r="N236" s="43"/>
      <c r="O236" s="2">
        <v>42734</v>
      </c>
      <c r="P236" s="49"/>
      <c r="Q236" s="49"/>
      <c r="R236" s="43"/>
      <c r="S236" s="43"/>
      <c r="T236" s="43"/>
      <c r="U236" s="43"/>
    </row>
    <row r="237" spans="1:21" s="32" customFormat="1" ht="45" x14ac:dyDescent="0.25">
      <c r="A237" s="43">
        <v>99</v>
      </c>
      <c r="B237" s="43" t="s">
        <v>860</v>
      </c>
      <c r="C237" s="43"/>
      <c r="D237" s="43" t="s">
        <v>861</v>
      </c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2">
        <v>42716</v>
      </c>
      <c r="P237" s="43"/>
      <c r="Q237" s="43"/>
      <c r="R237" s="43"/>
      <c r="S237" s="43"/>
      <c r="T237" s="43"/>
      <c r="U237" s="43"/>
    </row>
    <row r="238" spans="1:21" s="32" customFormat="1" ht="150" x14ac:dyDescent="0.25">
      <c r="A238" s="34">
        <v>100</v>
      </c>
      <c r="B238" s="34" t="s">
        <v>1060</v>
      </c>
      <c r="C238" s="34" t="s">
        <v>893</v>
      </c>
      <c r="D238" s="34" t="s">
        <v>1061</v>
      </c>
      <c r="E238" s="34">
        <v>5068.82</v>
      </c>
      <c r="F238" s="34">
        <v>61.61</v>
      </c>
      <c r="G238" s="34">
        <v>8</v>
      </c>
      <c r="H238" s="34">
        <v>8</v>
      </c>
      <c r="I238" s="34">
        <v>15.7</v>
      </c>
      <c r="J238" s="34">
        <v>15.7</v>
      </c>
      <c r="K238" s="34">
        <v>14</v>
      </c>
      <c r="L238" s="34" t="s">
        <v>1062</v>
      </c>
      <c r="M238" s="34" t="s">
        <v>872</v>
      </c>
      <c r="N238" s="34"/>
      <c r="O238" s="9">
        <v>42681</v>
      </c>
      <c r="P238" s="34" t="s">
        <v>327</v>
      </c>
      <c r="Q238" s="34" t="s">
        <v>856</v>
      </c>
      <c r="R238" s="34" t="s">
        <v>26</v>
      </c>
      <c r="S238" s="34"/>
      <c r="T238" s="34"/>
      <c r="U238" s="34"/>
    </row>
    <row r="239" spans="1:21" ht="90" x14ac:dyDescent="0.25">
      <c r="A239" s="40">
        <v>101</v>
      </c>
      <c r="B239" s="43" t="s">
        <v>1055</v>
      </c>
      <c r="C239" s="43" t="s">
        <v>945</v>
      </c>
      <c r="D239" s="43" t="s">
        <v>928</v>
      </c>
      <c r="E239" s="43">
        <v>4473.21</v>
      </c>
      <c r="F239" s="40"/>
      <c r="G239" s="40">
        <v>7</v>
      </c>
      <c r="H239" s="40">
        <v>7</v>
      </c>
      <c r="I239" s="40">
        <v>10</v>
      </c>
      <c r="J239" s="40">
        <v>10</v>
      </c>
      <c r="K239" s="43">
        <f>10</f>
        <v>10</v>
      </c>
      <c r="L239" s="43" t="s">
        <v>929</v>
      </c>
      <c r="M239" s="43" t="s">
        <v>1056</v>
      </c>
      <c r="N239" s="40"/>
      <c r="O239" s="76">
        <v>42731</v>
      </c>
      <c r="P239" s="40" t="s">
        <v>327</v>
      </c>
      <c r="Q239" s="34" t="s">
        <v>930</v>
      </c>
      <c r="R239" s="40"/>
      <c r="S239" s="40"/>
      <c r="T239" s="40"/>
      <c r="U239" s="40"/>
    </row>
    <row r="240" spans="1:21" s="40" customFormat="1" ht="45" x14ac:dyDescent="0.25">
      <c r="A240" s="40">
        <v>102</v>
      </c>
      <c r="B240" s="43" t="s">
        <v>936</v>
      </c>
      <c r="D240" s="43" t="s">
        <v>935</v>
      </c>
      <c r="E240" s="43"/>
      <c r="K240" s="43"/>
      <c r="L240" s="43"/>
      <c r="M240" s="43"/>
      <c r="O240" s="76">
        <v>42824</v>
      </c>
      <c r="Q240" s="34"/>
    </row>
    <row r="241" spans="1:17" s="33" customFormat="1" x14ac:dyDescent="0.25">
      <c r="A241" s="40"/>
      <c r="B241" s="40"/>
      <c r="C241" s="40"/>
      <c r="K241" s="31"/>
      <c r="L241" s="31"/>
      <c r="M241" s="31"/>
      <c r="Q241" s="31"/>
    </row>
  </sheetData>
  <autoFilter ref="A2:U240">
    <filterColumn colId="4" showButton="0"/>
    <filterColumn colId="6" showButton="0"/>
    <filterColumn colId="7" showButton="0"/>
    <filterColumn colId="8" showButton="0"/>
    <filterColumn colId="12" showButton="0"/>
  </autoFilter>
  <mergeCells count="232">
    <mergeCell ref="A210:A211"/>
    <mergeCell ref="A228:A229"/>
    <mergeCell ref="B228:B229"/>
    <mergeCell ref="A220:A221"/>
    <mergeCell ref="A222:A224"/>
    <mergeCell ref="B222:B224"/>
    <mergeCell ref="C220:C221"/>
    <mergeCell ref="P233:P236"/>
    <mergeCell ref="K220:K221"/>
    <mergeCell ref="L228:L229"/>
    <mergeCell ref="K222:K224"/>
    <mergeCell ref="Q233:Q236"/>
    <mergeCell ref="B233:B236"/>
    <mergeCell ref="C233:C236"/>
    <mergeCell ref="A157:A160"/>
    <mergeCell ref="B157:B160"/>
    <mergeCell ref="C157:C160"/>
    <mergeCell ref="A199:A203"/>
    <mergeCell ref="B199:B203"/>
    <mergeCell ref="A186:A191"/>
    <mergeCell ref="A195:A196"/>
    <mergeCell ref="B195:B196"/>
    <mergeCell ref="B162:B164"/>
    <mergeCell ref="A205:A206"/>
    <mergeCell ref="C210:C211"/>
    <mergeCell ref="C186:C191"/>
    <mergeCell ref="B220:B221"/>
    <mergeCell ref="A162:A164"/>
    <mergeCell ref="A153:A154"/>
    <mergeCell ref="M233:M236"/>
    <mergeCell ref="L233:L236"/>
    <mergeCell ref="K233:K236"/>
    <mergeCell ref="C222:C224"/>
    <mergeCell ref="C228:C229"/>
    <mergeCell ref="K228:K229"/>
    <mergeCell ref="C143:C146"/>
    <mergeCell ref="B205:B206"/>
    <mergeCell ref="B150:B152"/>
    <mergeCell ref="B165:B183"/>
    <mergeCell ref="B210:B211"/>
    <mergeCell ref="C162:C164"/>
    <mergeCell ref="C205:C206"/>
    <mergeCell ref="B153:B154"/>
    <mergeCell ref="C153:C154"/>
    <mergeCell ref="C148:C149"/>
    <mergeCell ref="B186:B191"/>
    <mergeCell ref="C195:C196"/>
    <mergeCell ref="E186:E189"/>
    <mergeCell ref="C199:C203"/>
    <mergeCell ref="F186:F189"/>
    <mergeCell ref="Q195:Q196"/>
    <mergeCell ref="K199:K203"/>
    <mergeCell ref="C165:C183"/>
    <mergeCell ref="A84:A88"/>
    <mergeCell ref="B84:B88"/>
    <mergeCell ref="A93:A94"/>
    <mergeCell ref="B62:B66"/>
    <mergeCell ref="B60:B61"/>
    <mergeCell ref="C93:C94"/>
    <mergeCell ref="C84:C88"/>
    <mergeCell ref="Q153:Q154"/>
    <mergeCell ref="L153:L154"/>
    <mergeCell ref="L169:L174"/>
    <mergeCell ref="K157:K160"/>
    <mergeCell ref="L190:L191"/>
    <mergeCell ref="L186:L189"/>
    <mergeCell ref="K186:K191"/>
    <mergeCell ref="K162:K164"/>
    <mergeCell ref="K195:K196"/>
    <mergeCell ref="K165:K183"/>
    <mergeCell ref="B104:B109"/>
    <mergeCell ref="C110:C112"/>
    <mergeCell ref="C135:C138"/>
    <mergeCell ref="C139:C141"/>
    <mergeCell ref="A98:A99"/>
    <mergeCell ref="A100:A101"/>
    <mergeCell ref="A126:A127"/>
    <mergeCell ref="A121:A123"/>
    <mergeCell ref="A132:A134"/>
    <mergeCell ref="A135:A138"/>
    <mergeCell ref="C116:C118"/>
    <mergeCell ref="B130:B131"/>
    <mergeCell ref="B135:B138"/>
    <mergeCell ref="B132:B134"/>
    <mergeCell ref="C132:C134"/>
    <mergeCell ref="B139:B141"/>
    <mergeCell ref="A104:A109"/>
    <mergeCell ref="B100:B101"/>
    <mergeCell ref="C126:C127"/>
    <mergeCell ref="B126:B127"/>
    <mergeCell ref="B116:B118"/>
    <mergeCell ref="C100:C101"/>
    <mergeCell ref="B98:B99"/>
    <mergeCell ref="C98:C99"/>
    <mergeCell ref="C104:C109"/>
    <mergeCell ref="B121:B123"/>
    <mergeCell ref="C102:C103"/>
    <mergeCell ref="E110:E112"/>
    <mergeCell ref="A130:A131"/>
    <mergeCell ref="A116:A118"/>
    <mergeCell ref="A113:A115"/>
    <mergeCell ref="B110:B112"/>
    <mergeCell ref="C130:C131"/>
    <mergeCell ref="C113:C115"/>
    <mergeCell ref="C121:C123"/>
    <mergeCell ref="B148:B149"/>
    <mergeCell ref="A12:A13"/>
    <mergeCell ref="B17:B19"/>
    <mergeCell ref="K2:K3"/>
    <mergeCell ref="K4:K8"/>
    <mergeCell ref="A51:A57"/>
    <mergeCell ref="D2:D3"/>
    <mergeCell ref="E2:F2"/>
    <mergeCell ref="A4:A8"/>
    <mergeCell ref="A10:A11"/>
    <mergeCell ref="A14:A16"/>
    <mergeCell ref="B14:B16"/>
    <mergeCell ref="C14:C16"/>
    <mergeCell ref="A37:A43"/>
    <mergeCell ref="A28:A35"/>
    <mergeCell ref="C28:C35"/>
    <mergeCell ref="G2:J2"/>
    <mergeCell ref="A46:A48"/>
    <mergeCell ref="B46:B48"/>
    <mergeCell ref="C75:C83"/>
    <mergeCell ref="B93:B94"/>
    <mergeCell ref="A20:A25"/>
    <mergeCell ref="B20:B25"/>
    <mergeCell ref="A49:A50"/>
    <mergeCell ref="B49:B50"/>
    <mergeCell ref="A1:U1"/>
    <mergeCell ref="B143:B146"/>
    <mergeCell ref="Q143:Q146"/>
    <mergeCell ref="E63:E64"/>
    <mergeCell ref="R2:R3"/>
    <mergeCell ref="B37:B43"/>
    <mergeCell ref="B10:B11"/>
    <mergeCell ref="L75:L78"/>
    <mergeCell ref="F63:F64"/>
    <mergeCell ref="A62:A66"/>
    <mergeCell ref="A2:A3"/>
    <mergeCell ref="A110:A112"/>
    <mergeCell ref="B113:B115"/>
    <mergeCell ref="A17:A19"/>
    <mergeCell ref="A102:A103"/>
    <mergeCell ref="B102:B103"/>
    <mergeCell ref="A69:A74"/>
    <mergeCell ref="B69:B74"/>
    <mergeCell ref="C69:C74"/>
    <mergeCell ref="A60:A61"/>
    <mergeCell ref="A58:A59"/>
    <mergeCell ref="C58:C59"/>
    <mergeCell ref="B58:B59"/>
    <mergeCell ref="B75:B83"/>
    <mergeCell ref="C60:C61"/>
    <mergeCell ref="M28:M35"/>
    <mergeCell ref="K28:K35"/>
    <mergeCell ref="F28:F35"/>
    <mergeCell ref="K51:K57"/>
    <mergeCell ref="K58:K59"/>
    <mergeCell ref="K69:K74"/>
    <mergeCell ref="C62:C66"/>
    <mergeCell ref="C46:C48"/>
    <mergeCell ref="L2:L3"/>
    <mergeCell ref="C4:C8"/>
    <mergeCell ref="C10:C11"/>
    <mergeCell ref="K14:K16"/>
    <mergeCell ref="K46:K48"/>
    <mergeCell ref="C51:C57"/>
    <mergeCell ref="C17:C19"/>
    <mergeCell ref="K37:K43"/>
    <mergeCell ref="K20:K25"/>
    <mergeCell ref="E4:E7"/>
    <mergeCell ref="F4:F7"/>
    <mergeCell ref="K10:K11"/>
    <mergeCell ref="C20:C25"/>
    <mergeCell ref="S2:S3"/>
    <mergeCell ref="T2:T3"/>
    <mergeCell ref="B2:B3"/>
    <mergeCell ref="C2:C3"/>
    <mergeCell ref="B51:B57"/>
    <mergeCell ref="B28:B35"/>
    <mergeCell ref="C37:C43"/>
    <mergeCell ref="B4:B8"/>
    <mergeCell ref="Q2:Q3"/>
    <mergeCell ref="M2:N2"/>
    <mergeCell ref="K49:K50"/>
    <mergeCell ref="K17:K19"/>
    <mergeCell ref="C12:C13"/>
    <mergeCell ref="B12:B13"/>
    <mergeCell ref="C49:C50"/>
    <mergeCell ref="Q41:Q43"/>
    <mergeCell ref="O2:O3"/>
    <mergeCell ref="K12:K13"/>
    <mergeCell ref="A150:A152"/>
    <mergeCell ref="C150:C152"/>
    <mergeCell ref="K153:K154"/>
    <mergeCell ref="L140:L141"/>
    <mergeCell ref="M153:M154"/>
    <mergeCell ref="M150:M152"/>
    <mergeCell ref="A139:A141"/>
    <mergeCell ref="A148:A149"/>
    <mergeCell ref="A143:A146"/>
    <mergeCell ref="K205:K206"/>
    <mergeCell ref="K210:K211"/>
    <mergeCell ref="A165:A183"/>
    <mergeCell ref="K143:K146"/>
    <mergeCell ref="K150:K152"/>
    <mergeCell ref="K148:K149"/>
    <mergeCell ref="M143:M144"/>
    <mergeCell ref="K135:K138"/>
    <mergeCell ref="K132:K134"/>
    <mergeCell ref="K139:K141"/>
    <mergeCell ref="K126:K127"/>
    <mergeCell ref="L80:L82"/>
    <mergeCell ref="K98:K99"/>
    <mergeCell ref="K100:K101"/>
    <mergeCell ref="K84:K88"/>
    <mergeCell ref="K93:K94"/>
    <mergeCell ref="K60:K61"/>
    <mergeCell ref="L63:L65"/>
    <mergeCell ref="K62:K66"/>
    <mergeCell ref="M77:M78"/>
    <mergeCell ref="L104:L109"/>
    <mergeCell ref="K75:K83"/>
    <mergeCell ref="K110:K112"/>
    <mergeCell ref="R104:R109"/>
    <mergeCell ref="K113:K115"/>
    <mergeCell ref="K116:K118"/>
    <mergeCell ref="K104:K109"/>
    <mergeCell ref="K102:K103"/>
    <mergeCell ref="K121:K123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opLeftCell="E1" workbookViewId="0">
      <selection activeCell="N33" sqref="N33"/>
    </sheetView>
  </sheetViews>
  <sheetFormatPr defaultRowHeight="15" x14ac:dyDescent="0.25"/>
  <sheetData>
    <row r="1" spans="1:23" x14ac:dyDescent="0.25">
      <c r="A1" t="s">
        <v>217</v>
      </c>
      <c r="H1" t="s">
        <v>219</v>
      </c>
      <c r="K1" t="s">
        <v>220</v>
      </c>
      <c r="R1" t="s">
        <v>404</v>
      </c>
      <c r="V1" t="s">
        <v>215</v>
      </c>
    </row>
    <row r="2" spans="1:23" x14ac:dyDescent="0.25">
      <c r="A2">
        <v>1</v>
      </c>
      <c r="B2">
        <v>4010</v>
      </c>
      <c r="C2" t="s">
        <v>218</v>
      </c>
      <c r="D2">
        <v>1</v>
      </c>
      <c r="E2">
        <v>2249.1</v>
      </c>
      <c r="F2" t="s">
        <v>216</v>
      </c>
      <c r="H2">
        <v>1</v>
      </c>
      <c r="I2">
        <v>2987.6</v>
      </c>
      <c r="J2" t="s">
        <v>218</v>
      </c>
      <c r="K2">
        <v>1</v>
      </c>
      <c r="L2">
        <v>2329</v>
      </c>
      <c r="M2" t="s">
        <v>218</v>
      </c>
      <c r="N2">
        <v>1</v>
      </c>
      <c r="O2">
        <v>2209.6999999999998</v>
      </c>
      <c r="P2" t="s">
        <v>216</v>
      </c>
      <c r="R2">
        <v>1</v>
      </c>
      <c r="S2">
        <v>16838.2</v>
      </c>
      <c r="U2" s="13">
        <v>1</v>
      </c>
      <c r="V2">
        <v>1447.7</v>
      </c>
      <c r="W2" t="s">
        <v>216</v>
      </c>
    </row>
    <row r="3" spans="1:23" x14ac:dyDescent="0.25">
      <c r="A3">
        <v>1</v>
      </c>
      <c r="B3">
        <v>1940</v>
      </c>
      <c r="D3">
        <v>1</v>
      </c>
      <c r="E3">
        <v>2263.8000000000002</v>
      </c>
      <c r="H3">
        <v>1</v>
      </c>
      <c r="I3">
        <v>2987.6</v>
      </c>
      <c r="K3">
        <v>1</v>
      </c>
      <c r="L3">
        <v>1911.7</v>
      </c>
      <c r="N3">
        <v>1</v>
      </c>
      <c r="O3">
        <v>1907.7</v>
      </c>
      <c r="R3">
        <v>2</v>
      </c>
      <c r="S3">
        <v>13776.8</v>
      </c>
      <c r="U3" s="13">
        <v>2</v>
      </c>
      <c r="V3">
        <v>2077.1</v>
      </c>
      <c r="W3" t="s">
        <v>216</v>
      </c>
    </row>
    <row r="4" spans="1:23" x14ac:dyDescent="0.25">
      <c r="A4">
        <v>1</v>
      </c>
      <c r="B4">
        <v>2380</v>
      </c>
      <c r="D4">
        <v>1</v>
      </c>
      <c r="E4">
        <v>2087.4</v>
      </c>
      <c r="H4">
        <v>1</v>
      </c>
      <c r="I4">
        <v>2259</v>
      </c>
      <c r="K4">
        <v>1</v>
      </c>
      <c r="L4">
        <v>2269.6</v>
      </c>
      <c r="N4">
        <v>1</v>
      </c>
      <c r="O4">
        <v>4082.8</v>
      </c>
      <c r="R4">
        <v>3</v>
      </c>
      <c r="S4">
        <v>1500</v>
      </c>
      <c r="U4" s="13">
        <v>3</v>
      </c>
      <c r="V4">
        <v>1265.9000000000001</v>
      </c>
      <c r="W4" t="s">
        <v>216</v>
      </c>
    </row>
    <row r="5" spans="1:23" x14ac:dyDescent="0.25">
      <c r="A5">
        <v>1</v>
      </c>
      <c r="B5">
        <v>2446.6</v>
      </c>
      <c r="D5">
        <v>1</v>
      </c>
      <c r="E5">
        <v>2190.3000000000002</v>
      </c>
      <c r="H5" s="15">
        <v>1</v>
      </c>
      <c r="I5" s="15">
        <v>3425.5</v>
      </c>
      <c r="K5">
        <v>1</v>
      </c>
      <c r="L5">
        <v>2288.4</v>
      </c>
      <c r="N5">
        <v>1</v>
      </c>
      <c r="O5">
        <v>2177.5</v>
      </c>
      <c r="R5">
        <v>4</v>
      </c>
      <c r="S5">
        <v>10205</v>
      </c>
      <c r="U5" s="13">
        <v>4</v>
      </c>
      <c r="V5">
        <v>2077.1</v>
      </c>
      <c r="W5" t="s">
        <v>216</v>
      </c>
    </row>
    <row r="6" spans="1:23" x14ac:dyDescent="0.25">
      <c r="A6">
        <v>1</v>
      </c>
      <c r="B6">
        <v>2119.5</v>
      </c>
      <c r="D6">
        <v>1</v>
      </c>
      <c r="E6">
        <v>2232.4</v>
      </c>
      <c r="H6" s="15">
        <v>1</v>
      </c>
      <c r="I6" s="15">
        <v>3649</v>
      </c>
      <c r="K6">
        <v>1</v>
      </c>
      <c r="L6">
        <v>1927</v>
      </c>
      <c r="N6">
        <v>1</v>
      </c>
      <c r="O6">
        <v>4060.1</v>
      </c>
      <c r="R6">
        <v>5</v>
      </c>
      <c r="S6">
        <v>19096</v>
      </c>
      <c r="U6">
        <v>5</v>
      </c>
      <c r="V6">
        <v>1721.4</v>
      </c>
    </row>
    <row r="7" spans="1:23" x14ac:dyDescent="0.25">
      <c r="A7">
        <v>1</v>
      </c>
      <c r="B7">
        <v>2497.5</v>
      </c>
      <c r="D7">
        <v>1</v>
      </c>
      <c r="E7">
        <v>4021.9</v>
      </c>
      <c r="H7" s="15">
        <v>1</v>
      </c>
      <c r="I7" s="15">
        <v>3763.2</v>
      </c>
      <c r="K7">
        <v>1</v>
      </c>
      <c r="L7">
        <v>2211.1</v>
      </c>
      <c r="N7">
        <v>1</v>
      </c>
      <c r="O7">
        <v>2749.7</v>
      </c>
      <c r="R7">
        <v>6</v>
      </c>
      <c r="S7">
        <v>1000</v>
      </c>
      <c r="U7" s="14">
        <v>6</v>
      </c>
      <c r="V7">
        <v>1766.7</v>
      </c>
      <c r="W7" t="s">
        <v>216</v>
      </c>
    </row>
    <row r="8" spans="1:23" x14ac:dyDescent="0.25">
      <c r="A8">
        <v>1</v>
      </c>
      <c r="B8">
        <v>3974.1</v>
      </c>
      <c r="D8">
        <v>1</v>
      </c>
      <c r="E8">
        <v>2185.4</v>
      </c>
      <c r="H8" s="15">
        <v>1</v>
      </c>
      <c r="I8" s="15">
        <v>2889.2</v>
      </c>
      <c r="K8">
        <v>1</v>
      </c>
      <c r="L8">
        <v>1800</v>
      </c>
      <c r="N8">
        <v>1</v>
      </c>
      <c r="O8">
        <v>2353.6999999999998</v>
      </c>
      <c r="R8">
        <v>7</v>
      </c>
      <c r="S8">
        <v>1200</v>
      </c>
      <c r="U8">
        <v>7</v>
      </c>
      <c r="V8">
        <v>1643.8</v>
      </c>
    </row>
    <row r="9" spans="1:23" x14ac:dyDescent="0.25">
      <c r="A9">
        <v>1</v>
      </c>
      <c r="B9">
        <v>2029.5</v>
      </c>
      <c r="D9">
        <v>1</v>
      </c>
      <c r="E9">
        <v>1891.4</v>
      </c>
      <c r="H9" s="15">
        <v>1</v>
      </c>
      <c r="I9" s="15">
        <v>2033.1</v>
      </c>
      <c r="K9">
        <v>1</v>
      </c>
      <c r="L9">
        <v>9922.4</v>
      </c>
      <c r="N9">
        <v>1</v>
      </c>
      <c r="O9">
        <v>4082.8</v>
      </c>
      <c r="R9">
        <v>8</v>
      </c>
      <c r="S9">
        <v>12599</v>
      </c>
      <c r="U9">
        <v>8</v>
      </c>
      <c r="V9">
        <v>1766.7</v>
      </c>
    </row>
    <row r="10" spans="1:23" x14ac:dyDescent="0.25">
      <c r="A10">
        <v>1</v>
      </c>
      <c r="B10">
        <v>2304</v>
      </c>
      <c r="D10">
        <v>1</v>
      </c>
      <c r="E10">
        <v>2145.1</v>
      </c>
      <c r="H10" s="15">
        <v>1</v>
      </c>
      <c r="I10" s="15">
        <v>3431.8</v>
      </c>
      <c r="K10">
        <v>1</v>
      </c>
      <c r="L10">
        <v>1849.9</v>
      </c>
      <c r="N10">
        <v>1</v>
      </c>
      <c r="O10">
        <v>2749.7</v>
      </c>
      <c r="R10">
        <v>9</v>
      </c>
      <c r="S10">
        <v>9500</v>
      </c>
      <c r="U10">
        <v>9</v>
      </c>
      <c r="V10">
        <v>1766.7</v>
      </c>
    </row>
    <row r="11" spans="1:23" x14ac:dyDescent="0.25">
      <c r="A11">
        <v>1</v>
      </c>
      <c r="B11">
        <v>2011.5</v>
      </c>
      <c r="D11">
        <v>1</v>
      </c>
      <c r="E11">
        <v>220.8</v>
      </c>
      <c r="H11" s="15">
        <v>1</v>
      </c>
      <c r="I11" s="15">
        <v>4125.6000000000004</v>
      </c>
      <c r="K11">
        <v>1</v>
      </c>
      <c r="L11">
        <v>4152.3999999999996</v>
      </c>
      <c r="N11">
        <v>1</v>
      </c>
      <c r="O11">
        <v>2353.6999999999998</v>
      </c>
      <c r="R11">
        <v>10</v>
      </c>
      <c r="S11">
        <v>9500</v>
      </c>
      <c r="U11">
        <v>10</v>
      </c>
      <c r="V11">
        <v>1360.5</v>
      </c>
    </row>
    <row r="12" spans="1:23" x14ac:dyDescent="0.25">
      <c r="A12">
        <v>1</v>
      </c>
      <c r="B12">
        <v>3911.7</v>
      </c>
      <c r="D12">
        <v>1</v>
      </c>
      <c r="E12">
        <v>1892.4</v>
      </c>
      <c r="H12" s="15">
        <v>1</v>
      </c>
      <c r="I12" s="15">
        <v>2884.5</v>
      </c>
      <c r="K12" s="15">
        <v>1</v>
      </c>
      <c r="L12" s="15">
        <v>1931</v>
      </c>
      <c r="N12">
        <v>1</v>
      </c>
      <c r="O12">
        <v>2232</v>
      </c>
      <c r="R12">
        <v>11</v>
      </c>
      <c r="S12">
        <v>1000</v>
      </c>
      <c r="U12">
        <v>11</v>
      </c>
      <c r="V12">
        <v>1224</v>
      </c>
    </row>
    <row r="13" spans="1:23" x14ac:dyDescent="0.25">
      <c r="A13">
        <v>1</v>
      </c>
      <c r="B13">
        <v>2628</v>
      </c>
      <c r="D13">
        <v>1</v>
      </c>
      <c r="E13">
        <v>2209.4</v>
      </c>
      <c r="H13" s="15">
        <v>1</v>
      </c>
      <c r="I13" s="15">
        <v>3425.5</v>
      </c>
      <c r="K13" s="12">
        <f>SUM(K2:K12)</f>
        <v>11</v>
      </c>
      <c r="L13" s="12">
        <f>SUM(L2:L12)</f>
        <v>32592.5</v>
      </c>
      <c r="N13">
        <v>1</v>
      </c>
      <c r="O13">
        <v>2057.1999999999998</v>
      </c>
      <c r="R13">
        <v>12</v>
      </c>
      <c r="S13">
        <v>1000</v>
      </c>
      <c r="U13" s="14">
        <v>12</v>
      </c>
      <c r="V13">
        <v>1711.1</v>
      </c>
      <c r="W13" t="s">
        <v>216</v>
      </c>
    </row>
    <row r="14" spans="1:23" x14ac:dyDescent="0.25">
      <c r="A14">
        <v>1</v>
      </c>
      <c r="B14">
        <v>1980</v>
      </c>
      <c r="D14">
        <v>1</v>
      </c>
      <c r="E14">
        <v>2085.4</v>
      </c>
      <c r="H14" s="15">
        <v>1</v>
      </c>
      <c r="I14" s="15">
        <v>3649</v>
      </c>
      <c r="N14">
        <v>1</v>
      </c>
      <c r="O14">
        <v>2775</v>
      </c>
      <c r="R14">
        <v>13</v>
      </c>
      <c r="S14">
        <v>7907.2</v>
      </c>
      <c r="U14" s="14">
        <v>13</v>
      </c>
      <c r="V14">
        <v>2077.1</v>
      </c>
      <c r="W14" t="s">
        <v>216</v>
      </c>
    </row>
    <row r="15" spans="1:23" x14ac:dyDescent="0.25">
      <c r="A15">
        <v>1</v>
      </c>
      <c r="B15">
        <v>1737</v>
      </c>
      <c r="D15">
        <v>1</v>
      </c>
      <c r="E15">
        <v>2192.3000000000002</v>
      </c>
      <c r="H15" s="15">
        <v>1</v>
      </c>
      <c r="I15" s="15">
        <v>3763</v>
      </c>
      <c r="N15">
        <v>1</v>
      </c>
      <c r="O15">
        <v>2380</v>
      </c>
      <c r="R15">
        <v>14</v>
      </c>
      <c r="S15">
        <v>8023.4</v>
      </c>
      <c r="U15" s="14">
        <v>14</v>
      </c>
      <c r="V15">
        <v>1711.1</v>
      </c>
      <c r="W15" t="s">
        <v>216</v>
      </c>
    </row>
    <row r="16" spans="1:23" x14ac:dyDescent="0.25">
      <c r="A16">
        <v>1</v>
      </c>
      <c r="B16">
        <v>3931.2</v>
      </c>
      <c r="D16" s="12">
        <f>SUM(D2:D15)</f>
        <v>14</v>
      </c>
      <c r="E16" s="12">
        <f>SUM(E2:E15)</f>
        <v>29867.100000000002</v>
      </c>
      <c r="H16" s="15">
        <v>1</v>
      </c>
      <c r="I16" s="15">
        <v>2889.2</v>
      </c>
      <c r="N16">
        <v>1</v>
      </c>
      <c r="O16">
        <v>2352.5</v>
      </c>
      <c r="R16">
        <v>15</v>
      </c>
      <c r="S16">
        <v>8467.2000000000007</v>
      </c>
      <c r="U16" s="14">
        <v>15</v>
      </c>
      <c r="V16">
        <v>2077.1</v>
      </c>
      <c r="W16" t="s">
        <v>216</v>
      </c>
    </row>
    <row r="17" spans="1:23" x14ac:dyDescent="0.25">
      <c r="A17">
        <v>1</v>
      </c>
      <c r="B17">
        <v>4262.7</v>
      </c>
      <c r="H17" s="15">
        <v>1</v>
      </c>
      <c r="I17" s="15">
        <v>2033.1</v>
      </c>
      <c r="N17">
        <v>1</v>
      </c>
      <c r="O17">
        <v>2295</v>
      </c>
      <c r="R17">
        <v>16</v>
      </c>
      <c r="S17">
        <v>3965.8</v>
      </c>
      <c r="U17">
        <v>16</v>
      </c>
      <c r="V17">
        <v>1263.2</v>
      </c>
    </row>
    <row r="18" spans="1:23" x14ac:dyDescent="0.25">
      <c r="A18">
        <v>1</v>
      </c>
      <c r="B18">
        <v>2117.1999999999998</v>
      </c>
      <c r="H18" s="15">
        <v>1</v>
      </c>
      <c r="I18" s="15">
        <v>3431.8</v>
      </c>
      <c r="N18">
        <v>1</v>
      </c>
      <c r="O18">
        <v>4177.8999999999996</v>
      </c>
      <c r="R18">
        <v>17</v>
      </c>
      <c r="S18">
        <v>4017.6</v>
      </c>
      <c r="U18" s="14">
        <v>17</v>
      </c>
      <c r="V18">
        <v>1458</v>
      </c>
      <c r="W18" t="s">
        <v>216</v>
      </c>
    </row>
    <row r="19" spans="1:23" x14ac:dyDescent="0.25">
      <c r="A19">
        <v>1</v>
      </c>
      <c r="B19">
        <v>2013.3</v>
      </c>
      <c r="H19" s="15">
        <v>1</v>
      </c>
      <c r="I19" s="15">
        <v>4125.7</v>
      </c>
      <c r="N19">
        <v>1</v>
      </c>
      <c r="O19">
        <v>2311.5</v>
      </c>
      <c r="R19">
        <v>18</v>
      </c>
      <c r="S19">
        <v>7146.5</v>
      </c>
      <c r="U19" s="14">
        <v>18</v>
      </c>
      <c r="V19">
        <v>1643.9</v>
      </c>
      <c r="W19" t="s">
        <v>216</v>
      </c>
    </row>
    <row r="20" spans="1:23" x14ac:dyDescent="0.25">
      <c r="A20">
        <v>1</v>
      </c>
      <c r="B20">
        <v>1734.3</v>
      </c>
      <c r="H20" s="15">
        <v>1</v>
      </c>
      <c r="I20" s="15">
        <v>2884.6</v>
      </c>
      <c r="N20">
        <v>1</v>
      </c>
      <c r="O20">
        <v>2235</v>
      </c>
      <c r="R20">
        <v>19</v>
      </c>
      <c r="S20">
        <v>9568</v>
      </c>
      <c r="U20" s="14">
        <v>19</v>
      </c>
      <c r="V20">
        <v>1643.9</v>
      </c>
      <c r="W20" t="s">
        <v>216</v>
      </c>
    </row>
    <row r="21" spans="1:23" x14ac:dyDescent="0.25">
      <c r="A21">
        <v>1</v>
      </c>
      <c r="B21">
        <v>2304</v>
      </c>
      <c r="H21" s="12">
        <f>SUM(H2:H20)</f>
        <v>19</v>
      </c>
      <c r="I21" s="12">
        <f>SUM(I2:I20)</f>
        <v>60637.999999999993</v>
      </c>
      <c r="N21">
        <v>1</v>
      </c>
      <c r="O21">
        <v>2777.5</v>
      </c>
      <c r="R21">
        <v>20</v>
      </c>
      <c r="S21">
        <v>918</v>
      </c>
      <c r="U21" s="14">
        <v>20</v>
      </c>
      <c r="V21">
        <v>1239.3</v>
      </c>
      <c r="W21" t="s">
        <v>216</v>
      </c>
    </row>
    <row r="22" spans="1:23" x14ac:dyDescent="0.25">
      <c r="A22">
        <v>1</v>
      </c>
      <c r="B22">
        <v>2497.5</v>
      </c>
      <c r="N22">
        <v>1</v>
      </c>
      <c r="O22">
        <v>2235</v>
      </c>
      <c r="R22">
        <v>21</v>
      </c>
      <c r="S22">
        <v>643.5</v>
      </c>
      <c r="U22" s="14">
        <v>21</v>
      </c>
      <c r="V22">
        <v>1263.21</v>
      </c>
      <c r="W22" t="s">
        <v>216</v>
      </c>
    </row>
    <row r="23" spans="1:23" x14ac:dyDescent="0.25">
      <c r="A23">
        <v>1</v>
      </c>
      <c r="B23">
        <v>1979.5</v>
      </c>
      <c r="N23">
        <v>1</v>
      </c>
      <c r="O23">
        <v>2006.9</v>
      </c>
      <c r="R23">
        <v>22</v>
      </c>
      <c r="S23">
        <v>5509.6</v>
      </c>
      <c r="U23">
        <v>22</v>
      </c>
      <c r="V23">
        <v>3267.4</v>
      </c>
    </row>
    <row r="24" spans="1:23" x14ac:dyDescent="0.25">
      <c r="A24">
        <v>1</v>
      </c>
      <c r="B24">
        <v>2008.8</v>
      </c>
      <c r="N24">
        <v>1</v>
      </c>
      <c r="O24">
        <v>2006.9</v>
      </c>
      <c r="R24">
        <v>23</v>
      </c>
      <c r="S24">
        <v>9564.2999999999993</v>
      </c>
      <c r="U24" s="14">
        <v>23</v>
      </c>
      <c r="V24">
        <v>1262.8</v>
      </c>
      <c r="W24" t="s">
        <v>216</v>
      </c>
    </row>
    <row r="25" spans="1:23" x14ac:dyDescent="0.25">
      <c r="A25">
        <v>1</v>
      </c>
      <c r="B25">
        <v>4263.8999999999996</v>
      </c>
      <c r="N25" s="15">
        <v>1</v>
      </c>
      <c r="O25" s="15">
        <v>2130</v>
      </c>
      <c r="R25">
        <v>24</v>
      </c>
      <c r="S25">
        <v>12780.6</v>
      </c>
      <c r="U25" s="14">
        <v>24</v>
      </c>
      <c r="V25">
        <v>1477.2</v>
      </c>
      <c r="W25" t="s">
        <v>216</v>
      </c>
    </row>
    <row r="26" spans="1:23" x14ac:dyDescent="0.25">
      <c r="A26">
        <v>1</v>
      </c>
      <c r="B26">
        <v>3931.6</v>
      </c>
      <c r="N26" s="12">
        <f>SUM(N2:N25)</f>
        <v>24</v>
      </c>
      <c r="O26" s="12">
        <f>SUM(O2:O25)</f>
        <v>62699.8</v>
      </c>
      <c r="R26">
        <v>25</v>
      </c>
      <c r="S26">
        <v>1288</v>
      </c>
      <c r="U26" s="14">
        <v>25</v>
      </c>
      <c r="V26">
        <v>1262.8</v>
      </c>
      <c r="W26" t="s">
        <v>216</v>
      </c>
    </row>
    <row r="27" spans="1:23" x14ac:dyDescent="0.25">
      <c r="A27">
        <v>1</v>
      </c>
      <c r="B27">
        <v>2628</v>
      </c>
      <c r="R27">
        <v>26</v>
      </c>
      <c r="S27">
        <v>9564.2999999999993</v>
      </c>
      <c r="U27" s="14">
        <v>26</v>
      </c>
      <c r="V27">
        <v>1643.8</v>
      </c>
      <c r="W27" t="s">
        <v>216</v>
      </c>
    </row>
    <row r="28" spans="1:23" x14ac:dyDescent="0.25">
      <c r="A28">
        <v>1</v>
      </c>
      <c r="B28">
        <v>3972.9</v>
      </c>
      <c r="R28">
        <v>27</v>
      </c>
      <c r="S28">
        <v>918</v>
      </c>
      <c r="U28">
        <v>27</v>
      </c>
      <c r="V28">
        <v>1575.7</v>
      </c>
    </row>
    <row r="29" spans="1:23" x14ac:dyDescent="0.25">
      <c r="A29">
        <v>1</v>
      </c>
      <c r="B29">
        <v>3487.3</v>
      </c>
      <c r="R29">
        <v>28</v>
      </c>
      <c r="S29">
        <v>643.5</v>
      </c>
      <c r="U29" s="14">
        <v>28</v>
      </c>
      <c r="V29">
        <v>1250</v>
      </c>
    </row>
    <row r="30" spans="1:23" x14ac:dyDescent="0.25">
      <c r="A30">
        <v>1</v>
      </c>
      <c r="B30">
        <v>2107</v>
      </c>
      <c r="R30">
        <v>29</v>
      </c>
      <c r="S30">
        <v>9657.4</v>
      </c>
      <c r="V30">
        <f>SUM(V2:V29)</f>
        <v>45945.210000000006</v>
      </c>
    </row>
    <row r="31" spans="1:23" x14ac:dyDescent="0.25">
      <c r="A31">
        <v>1</v>
      </c>
      <c r="B31">
        <v>2941.2</v>
      </c>
      <c r="R31">
        <v>30</v>
      </c>
      <c r="S31">
        <v>9564.2999999999993</v>
      </c>
    </row>
    <row r="32" spans="1:23" x14ac:dyDescent="0.25">
      <c r="A32">
        <v>1</v>
      </c>
      <c r="B32">
        <v>2107</v>
      </c>
      <c r="R32">
        <v>31</v>
      </c>
      <c r="S32">
        <v>643.5</v>
      </c>
    </row>
    <row r="33" spans="1:19" x14ac:dyDescent="0.25">
      <c r="A33">
        <v>1</v>
      </c>
      <c r="B33">
        <v>2130</v>
      </c>
      <c r="R33">
        <v>32</v>
      </c>
      <c r="S33">
        <v>918</v>
      </c>
    </row>
    <row r="34" spans="1:19" x14ac:dyDescent="0.25">
      <c r="A34">
        <v>1</v>
      </c>
      <c r="B34">
        <v>3581.9</v>
      </c>
      <c r="R34">
        <v>33</v>
      </c>
      <c r="S34">
        <v>918</v>
      </c>
    </row>
    <row r="35" spans="1:19" x14ac:dyDescent="0.25">
      <c r="A35">
        <v>1</v>
      </c>
      <c r="B35">
        <v>2941.2</v>
      </c>
      <c r="R35">
        <v>34</v>
      </c>
      <c r="S35">
        <v>10300.1</v>
      </c>
    </row>
    <row r="36" spans="1:19" x14ac:dyDescent="0.25">
      <c r="A36">
        <v>1</v>
      </c>
      <c r="B36">
        <v>6278.6</v>
      </c>
      <c r="R36">
        <v>35</v>
      </c>
      <c r="S36">
        <v>11560</v>
      </c>
    </row>
    <row r="37" spans="1:19" x14ac:dyDescent="0.25">
      <c r="A37">
        <v>1</v>
      </c>
      <c r="B37">
        <v>4219.2</v>
      </c>
      <c r="R37">
        <v>36</v>
      </c>
      <c r="S37">
        <v>6332.5</v>
      </c>
    </row>
    <row r="38" spans="1:19" x14ac:dyDescent="0.25">
      <c r="R38">
        <v>37</v>
      </c>
      <c r="S38">
        <v>6374.2</v>
      </c>
    </row>
    <row r="39" spans="1:19" x14ac:dyDescent="0.25">
      <c r="A39">
        <v>1</v>
      </c>
      <c r="B39">
        <v>2234.4</v>
      </c>
      <c r="R39">
        <v>38</v>
      </c>
      <c r="S39">
        <v>700</v>
      </c>
    </row>
    <row r="40" spans="1:19" x14ac:dyDescent="0.25">
      <c r="A40">
        <f>SUM(A2:A39)</f>
        <v>37</v>
      </c>
      <c r="B40">
        <f>SUM(B2:B39)</f>
        <v>105642.09999999999</v>
      </c>
      <c r="R40">
        <v>39</v>
      </c>
      <c r="S40">
        <v>700</v>
      </c>
    </row>
    <row r="41" spans="1:19" x14ac:dyDescent="0.25">
      <c r="R41">
        <v>40</v>
      </c>
      <c r="S41">
        <v>700</v>
      </c>
    </row>
    <row r="42" spans="1:19" x14ac:dyDescent="0.25">
      <c r="R42">
        <v>41</v>
      </c>
      <c r="S42">
        <v>9475.0499999999993</v>
      </c>
    </row>
    <row r="43" spans="1:19" x14ac:dyDescent="0.25">
      <c r="R43">
        <v>42</v>
      </c>
      <c r="S43">
        <v>800</v>
      </c>
    </row>
    <row r="44" spans="1:19" x14ac:dyDescent="0.25">
      <c r="R44">
        <v>43</v>
      </c>
      <c r="S44">
        <v>7600</v>
      </c>
    </row>
    <row r="45" spans="1:19" x14ac:dyDescent="0.25">
      <c r="R45">
        <v>44</v>
      </c>
      <c r="S45">
        <v>700</v>
      </c>
    </row>
    <row r="46" spans="1:19" x14ac:dyDescent="0.25">
      <c r="R46">
        <v>45</v>
      </c>
      <c r="S46">
        <v>4400</v>
      </c>
    </row>
    <row r="47" spans="1:19" x14ac:dyDescent="0.25">
      <c r="R47">
        <v>46</v>
      </c>
      <c r="S47">
        <v>800</v>
      </c>
    </row>
    <row r="48" spans="1:19" x14ac:dyDescent="0.25">
      <c r="R48">
        <v>47</v>
      </c>
      <c r="S48">
        <v>7920</v>
      </c>
    </row>
    <row r="49" spans="18:19" x14ac:dyDescent="0.25">
      <c r="R49">
        <v>48</v>
      </c>
      <c r="S49">
        <v>700</v>
      </c>
    </row>
    <row r="50" spans="18:19" x14ac:dyDescent="0.25">
      <c r="R50">
        <v>49</v>
      </c>
      <c r="S50">
        <v>180.3</v>
      </c>
    </row>
    <row r="51" spans="18:19" x14ac:dyDescent="0.25">
      <c r="R51">
        <v>50</v>
      </c>
      <c r="S51">
        <v>172.4</v>
      </c>
    </row>
    <row r="52" spans="18:19" x14ac:dyDescent="0.25">
      <c r="R52">
        <v>51</v>
      </c>
      <c r="S52">
        <v>785</v>
      </c>
    </row>
    <row r="53" spans="18:19" x14ac:dyDescent="0.25">
      <c r="R53">
        <v>52</v>
      </c>
      <c r="S53">
        <v>790</v>
      </c>
    </row>
    <row r="54" spans="18:19" x14ac:dyDescent="0.25">
      <c r="S54">
        <f>SUM(S2:S53)</f>
        <v>280831.25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S14" sqref="S14"/>
    </sheetView>
  </sheetViews>
  <sheetFormatPr defaultRowHeight="15" x14ac:dyDescent="0.25"/>
  <cols>
    <col min="3" max="3" width="10" bestFit="1" customWidth="1"/>
    <col min="5" max="5" width="15.7109375" bestFit="1" customWidth="1"/>
  </cols>
  <sheetData>
    <row r="1" spans="1:5" x14ac:dyDescent="0.25">
      <c r="A1">
        <v>3072.48</v>
      </c>
    </row>
    <row r="2" spans="1:5" x14ac:dyDescent="0.25">
      <c r="A2">
        <v>3136.49</v>
      </c>
    </row>
    <row r="3" spans="1:5" x14ac:dyDescent="0.25">
      <c r="A3">
        <v>2889.09</v>
      </c>
    </row>
    <row r="4" spans="1:5" x14ac:dyDescent="0.25">
      <c r="A4">
        <v>3072.48</v>
      </c>
    </row>
    <row r="5" spans="1:5" x14ac:dyDescent="0.25">
      <c r="A5">
        <f>SUM(A1:A4)</f>
        <v>12170.539999999999</v>
      </c>
      <c r="C5">
        <v>49362.05</v>
      </c>
      <c r="E5">
        <f>C5-A5</f>
        <v>37191.51</v>
      </c>
    </row>
    <row r="9" spans="1:5" x14ac:dyDescent="0.25">
      <c r="E9" s="16"/>
    </row>
    <row r="19" spans="1:1" x14ac:dyDescent="0.25">
      <c r="A19" s="15"/>
    </row>
    <row r="20" spans="1:1" x14ac:dyDescent="0.25">
      <c r="A20" s="15"/>
    </row>
    <row r="21" spans="1:1" x14ac:dyDescent="0.25">
      <c r="A21" s="15"/>
    </row>
    <row r="23" spans="1:1" x14ac:dyDescent="0.25">
      <c r="A23" s="12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10" sqref="A10"/>
    </sheetView>
  </sheetViews>
  <sheetFormatPr defaultRowHeight="15" x14ac:dyDescent="0.25"/>
  <cols>
    <col min="1" max="1" width="16.7109375" style="16" bestFit="1" customWidth="1"/>
    <col min="3" max="3" width="18.28515625" style="16" customWidth="1"/>
  </cols>
  <sheetData>
    <row r="1" spans="1:4" x14ac:dyDescent="0.25">
      <c r="A1" s="16">
        <v>2357</v>
      </c>
    </row>
    <row r="2" spans="1:4" x14ac:dyDescent="0.25">
      <c r="A2" s="16">
        <v>2771</v>
      </c>
    </row>
    <row r="3" spans="1:4" x14ac:dyDescent="0.25">
      <c r="A3" s="16">
        <v>2094</v>
      </c>
    </row>
    <row r="4" spans="1:4" x14ac:dyDescent="0.25">
      <c r="A4" s="16">
        <v>3741</v>
      </c>
    </row>
    <row r="5" spans="1:4" x14ac:dyDescent="0.25">
      <c r="A5" s="16">
        <v>1394</v>
      </c>
    </row>
    <row r="6" spans="1:4" x14ac:dyDescent="0.25">
      <c r="A6" s="16">
        <v>1940</v>
      </c>
    </row>
    <row r="7" spans="1:4" x14ac:dyDescent="0.25">
      <c r="A7" s="16">
        <v>2973</v>
      </c>
    </row>
    <row r="8" spans="1:4" x14ac:dyDescent="0.25">
      <c r="A8" s="16">
        <v>1626</v>
      </c>
    </row>
    <row r="9" spans="1:4" x14ac:dyDescent="0.25">
      <c r="A9" s="16">
        <v>1768</v>
      </c>
    </row>
    <row r="10" spans="1:4" x14ac:dyDescent="0.25">
      <c r="A10" s="16">
        <f>SUM(A1:A9)</f>
        <v>20664</v>
      </c>
    </row>
    <row r="15" spans="1:4" x14ac:dyDescent="0.25">
      <c r="D15" t="s">
        <v>802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workbookViewId="0">
      <selection activeCell="A2" sqref="A2"/>
    </sheetView>
  </sheetViews>
  <sheetFormatPr defaultRowHeight="15" x14ac:dyDescent="0.25"/>
  <cols>
    <col min="1" max="1" width="102.28515625" style="27" customWidth="1"/>
  </cols>
  <sheetData>
    <row r="1" spans="1:1" x14ac:dyDescent="0.25">
      <c r="A1" s="21"/>
    </row>
    <row r="2" spans="1:1" x14ac:dyDescent="0.25">
      <c r="A2" s="20" t="s">
        <v>0</v>
      </c>
    </row>
    <row r="3" spans="1:1" ht="45" x14ac:dyDescent="0.25">
      <c r="A3" s="22" t="s">
        <v>385</v>
      </c>
    </row>
    <row r="4" spans="1:1" ht="45" x14ac:dyDescent="0.25">
      <c r="A4" s="23" t="s">
        <v>337</v>
      </c>
    </row>
    <row r="5" spans="1:1" ht="90" x14ac:dyDescent="0.25">
      <c r="A5" s="22" t="s">
        <v>397</v>
      </c>
    </row>
    <row r="6" spans="1:1" ht="75" x14ac:dyDescent="0.25">
      <c r="A6" s="22" t="s">
        <v>374</v>
      </c>
    </row>
    <row r="7" spans="1:1" ht="60" x14ac:dyDescent="0.25">
      <c r="A7" s="22" t="s">
        <v>662</v>
      </c>
    </row>
    <row r="8" spans="1:1" ht="60" x14ac:dyDescent="0.25">
      <c r="A8" s="24" t="s">
        <v>719</v>
      </c>
    </row>
    <row r="9" spans="1:1" ht="75" x14ac:dyDescent="0.25">
      <c r="A9" s="22" t="s">
        <v>384</v>
      </c>
    </row>
    <row r="10" spans="1:1" ht="75" x14ac:dyDescent="0.25">
      <c r="A10" s="24" t="s">
        <v>720</v>
      </c>
    </row>
    <row r="11" spans="1:1" ht="90" x14ac:dyDescent="0.25">
      <c r="A11" s="24" t="s">
        <v>500</v>
      </c>
    </row>
    <row r="12" spans="1:1" ht="105" x14ac:dyDescent="0.25">
      <c r="A12" s="22" t="s">
        <v>481</v>
      </c>
    </row>
    <row r="13" spans="1:1" ht="75" x14ac:dyDescent="0.25">
      <c r="A13" s="24" t="s">
        <v>412</v>
      </c>
    </row>
    <row r="14" spans="1:1" ht="60" x14ac:dyDescent="0.25">
      <c r="A14" s="22" t="s">
        <v>241</v>
      </c>
    </row>
    <row r="15" spans="1:1" ht="60" x14ac:dyDescent="0.25">
      <c r="A15" s="22" t="s">
        <v>721</v>
      </c>
    </row>
    <row r="16" spans="1:1" ht="75" x14ac:dyDescent="0.25">
      <c r="A16" s="24" t="s">
        <v>277</v>
      </c>
    </row>
    <row r="17" spans="1:1" ht="60" x14ac:dyDescent="0.25">
      <c r="A17" s="22" t="s">
        <v>294</v>
      </c>
    </row>
    <row r="18" spans="1:1" ht="75" x14ac:dyDescent="0.25">
      <c r="A18" s="24" t="s">
        <v>228</v>
      </c>
    </row>
    <row r="19" spans="1:1" ht="60" x14ac:dyDescent="0.25">
      <c r="A19" s="22" t="s">
        <v>396</v>
      </c>
    </row>
    <row r="20" spans="1:1" ht="75" x14ac:dyDescent="0.25">
      <c r="A20" s="25" t="s">
        <v>207</v>
      </c>
    </row>
    <row r="21" spans="1:1" ht="75" x14ac:dyDescent="0.25">
      <c r="A21" s="24" t="s">
        <v>410</v>
      </c>
    </row>
    <row r="22" spans="1:1" ht="60" x14ac:dyDescent="0.25">
      <c r="A22" s="22" t="s">
        <v>283</v>
      </c>
    </row>
    <row r="23" spans="1:1" ht="60" x14ac:dyDescent="0.25">
      <c r="A23" s="22" t="s">
        <v>398</v>
      </c>
    </row>
    <row r="24" spans="1:1" ht="75" x14ac:dyDescent="0.25">
      <c r="A24" s="22" t="s">
        <v>347</v>
      </c>
    </row>
    <row r="25" spans="1:1" ht="60" x14ac:dyDescent="0.25">
      <c r="A25" s="24" t="s">
        <v>494</v>
      </c>
    </row>
    <row r="26" spans="1:1" ht="60" x14ac:dyDescent="0.25">
      <c r="A26" s="22" t="s">
        <v>722</v>
      </c>
    </row>
    <row r="27" spans="1:1" ht="75" x14ac:dyDescent="0.25">
      <c r="A27" s="24" t="s">
        <v>326</v>
      </c>
    </row>
    <row r="28" spans="1:1" ht="45" x14ac:dyDescent="0.25">
      <c r="A28" s="23" t="s">
        <v>413</v>
      </c>
    </row>
    <row r="29" spans="1:1" ht="45" x14ac:dyDescent="0.25">
      <c r="A29" s="22" t="s">
        <v>174</v>
      </c>
    </row>
    <row r="30" spans="1:1" ht="75" x14ac:dyDescent="0.25">
      <c r="A30" s="24" t="s">
        <v>449</v>
      </c>
    </row>
    <row r="31" spans="1:1" ht="90" x14ac:dyDescent="0.25">
      <c r="A31" s="22" t="s">
        <v>723</v>
      </c>
    </row>
    <row r="32" spans="1:1" ht="90" x14ac:dyDescent="0.25">
      <c r="A32" s="22" t="s">
        <v>724</v>
      </c>
    </row>
    <row r="33" spans="1:1" ht="60" x14ac:dyDescent="0.25">
      <c r="A33" s="22" t="s">
        <v>725</v>
      </c>
    </row>
    <row r="34" spans="1:1" ht="45" x14ac:dyDescent="0.25">
      <c r="A34" s="22" t="s">
        <v>726</v>
      </c>
    </row>
    <row r="35" spans="1:1" ht="105" x14ac:dyDescent="0.25">
      <c r="A35" s="22" t="s">
        <v>504</v>
      </c>
    </row>
    <row r="36" spans="1:1" ht="75" x14ac:dyDescent="0.25">
      <c r="A36" s="22" t="s">
        <v>674</v>
      </c>
    </row>
    <row r="37" spans="1:1" ht="60" x14ac:dyDescent="0.25">
      <c r="A37" s="22" t="s">
        <v>684</v>
      </c>
    </row>
    <row r="38" spans="1:1" ht="90" x14ac:dyDescent="0.25">
      <c r="A38" s="22" t="s">
        <v>676</v>
      </c>
    </row>
    <row r="39" spans="1:1" ht="60" x14ac:dyDescent="0.25">
      <c r="A39" s="22" t="s">
        <v>145</v>
      </c>
    </row>
    <row r="40" spans="1:1" ht="120" x14ac:dyDescent="0.25">
      <c r="A40" s="22" t="s">
        <v>628</v>
      </c>
    </row>
    <row r="41" spans="1:1" ht="90" x14ac:dyDescent="0.25">
      <c r="A41" s="24" t="s">
        <v>244</v>
      </c>
    </row>
    <row r="42" spans="1:1" ht="90" x14ac:dyDescent="0.25">
      <c r="A42" s="24" t="s">
        <v>659</v>
      </c>
    </row>
    <row r="43" spans="1:1" ht="60" x14ac:dyDescent="0.25">
      <c r="A43" s="24" t="s">
        <v>361</v>
      </c>
    </row>
    <row r="44" spans="1:1" ht="90" x14ac:dyDescent="0.25">
      <c r="A44" s="22" t="s">
        <v>685</v>
      </c>
    </row>
    <row r="45" spans="1:1" ht="90" x14ac:dyDescent="0.25">
      <c r="A45" s="24" t="s">
        <v>643</v>
      </c>
    </row>
    <row r="46" spans="1:1" ht="60" x14ac:dyDescent="0.25">
      <c r="A46" s="22" t="s">
        <v>169</v>
      </c>
    </row>
    <row r="47" spans="1:1" ht="60" x14ac:dyDescent="0.25">
      <c r="A47" s="26" t="s">
        <v>727</v>
      </c>
    </row>
    <row r="48" spans="1:1" ht="45" x14ac:dyDescent="0.25">
      <c r="A48" s="22" t="s">
        <v>493</v>
      </c>
    </row>
    <row r="49" spans="1:1" ht="60" x14ac:dyDescent="0.25">
      <c r="A49" s="22" t="s">
        <v>322</v>
      </c>
    </row>
    <row r="50" spans="1:1" ht="75" x14ac:dyDescent="0.25">
      <c r="A50" s="24" t="s">
        <v>635</v>
      </c>
    </row>
    <row r="51" spans="1:1" ht="60" x14ac:dyDescent="0.25">
      <c r="A51" s="22" t="s">
        <v>420</v>
      </c>
    </row>
    <row r="52" spans="1:1" ht="45" x14ac:dyDescent="0.25">
      <c r="A52" s="22" t="s">
        <v>732</v>
      </c>
    </row>
    <row r="53" spans="1:1" ht="90" x14ac:dyDescent="0.25">
      <c r="A53" s="22" t="s">
        <v>266</v>
      </c>
    </row>
    <row r="54" spans="1:1" ht="45" x14ac:dyDescent="0.25">
      <c r="A54" s="24" t="s">
        <v>222</v>
      </c>
    </row>
    <row r="55" spans="1:1" ht="60" x14ac:dyDescent="0.25">
      <c r="A55" s="24" t="s">
        <v>321</v>
      </c>
    </row>
    <row r="56" spans="1:1" ht="60" x14ac:dyDescent="0.25">
      <c r="A56" s="24" t="s">
        <v>522</v>
      </c>
    </row>
    <row r="57" spans="1:1" ht="60" x14ac:dyDescent="0.25">
      <c r="A57" s="22" t="s">
        <v>249</v>
      </c>
    </row>
    <row r="58" spans="1:1" ht="45" x14ac:dyDescent="0.25">
      <c r="A58" s="24" t="s">
        <v>731</v>
      </c>
    </row>
    <row r="59" spans="1:1" ht="45" x14ac:dyDescent="0.25">
      <c r="A59" s="24" t="s">
        <v>636</v>
      </c>
    </row>
    <row r="60" spans="1:1" ht="45" x14ac:dyDescent="0.25">
      <c r="A60" s="22" t="s">
        <v>419</v>
      </c>
    </row>
    <row r="61" spans="1:1" ht="45" x14ac:dyDescent="0.25">
      <c r="A61" s="24" t="s">
        <v>451</v>
      </c>
    </row>
    <row r="62" spans="1:1" ht="60" x14ac:dyDescent="0.25">
      <c r="A62" s="24" t="s">
        <v>730</v>
      </c>
    </row>
    <row r="63" spans="1:1" ht="45" x14ac:dyDescent="0.25">
      <c r="A63" s="22" t="s">
        <v>391</v>
      </c>
    </row>
    <row r="64" spans="1:1" ht="75" x14ac:dyDescent="0.25">
      <c r="A64" s="24" t="s">
        <v>584</v>
      </c>
    </row>
    <row r="65" spans="1:1" ht="60" x14ac:dyDescent="0.25">
      <c r="A65" s="24" t="s">
        <v>632</v>
      </c>
    </row>
    <row r="66" spans="1:1" ht="75" x14ac:dyDescent="0.25">
      <c r="A66" s="24" t="s">
        <v>649</v>
      </c>
    </row>
    <row r="67" spans="1:1" ht="60" x14ac:dyDescent="0.25">
      <c r="A67" s="22" t="s">
        <v>356</v>
      </c>
    </row>
    <row r="68" spans="1:1" ht="90" x14ac:dyDescent="0.25">
      <c r="A68" s="24" t="s">
        <v>591</v>
      </c>
    </row>
    <row r="69" spans="1:1" ht="60" x14ac:dyDescent="0.25">
      <c r="A69" s="22" t="s">
        <v>666</v>
      </c>
    </row>
    <row r="70" spans="1:1" ht="45" x14ac:dyDescent="0.25">
      <c r="A70" s="22" t="s">
        <v>251</v>
      </c>
    </row>
    <row r="71" spans="1:1" ht="45" x14ac:dyDescent="0.25">
      <c r="A71" s="22" t="s">
        <v>368</v>
      </c>
    </row>
    <row r="72" spans="1:1" ht="75" x14ac:dyDescent="0.25">
      <c r="A72" s="22" t="s">
        <v>669</v>
      </c>
    </row>
    <row r="73" spans="1:1" ht="45" x14ac:dyDescent="0.25">
      <c r="A73" s="24" t="s">
        <v>728</v>
      </c>
    </row>
    <row r="74" spans="1:1" ht="45" x14ac:dyDescent="0.25">
      <c r="A74" s="25" t="s">
        <v>373</v>
      </c>
    </row>
    <row r="75" spans="1:1" ht="45" x14ac:dyDescent="0.25">
      <c r="A75" s="25" t="s">
        <v>240</v>
      </c>
    </row>
    <row r="76" spans="1:1" ht="75" x14ac:dyDescent="0.25">
      <c r="A76" s="22" t="s">
        <v>621</v>
      </c>
    </row>
    <row r="77" spans="1:1" ht="90" x14ac:dyDescent="0.25">
      <c r="A77" s="24" t="s">
        <v>618</v>
      </c>
    </row>
    <row r="78" spans="1:1" ht="45" x14ac:dyDescent="0.25">
      <c r="A78" s="24" t="s">
        <v>395</v>
      </c>
    </row>
    <row r="79" spans="1:1" ht="45" x14ac:dyDescent="0.25">
      <c r="A79" s="24" t="s">
        <v>392</v>
      </c>
    </row>
    <row r="80" spans="1:1" ht="75" x14ac:dyDescent="0.25">
      <c r="A80" s="24" t="s">
        <v>519</v>
      </c>
    </row>
    <row r="81" spans="1:1" ht="75" x14ac:dyDescent="0.25">
      <c r="A81" s="24" t="s">
        <v>462</v>
      </c>
    </row>
    <row r="82" spans="1:1" ht="45" x14ac:dyDescent="0.25">
      <c r="A82" s="25" t="s">
        <v>525</v>
      </c>
    </row>
    <row r="83" spans="1:1" ht="30" x14ac:dyDescent="0.25">
      <c r="A83" s="24" t="s">
        <v>729</v>
      </c>
    </row>
    <row r="84" spans="1:1" ht="60" x14ac:dyDescent="0.25">
      <c r="A84" s="24" t="s">
        <v>551</v>
      </c>
    </row>
    <row r="85" spans="1:1" ht="60" x14ac:dyDescent="0.25">
      <c r="A85" s="24" t="s">
        <v>646</v>
      </c>
    </row>
    <row r="86" spans="1:1" ht="75" x14ac:dyDescent="0.25">
      <c r="A86" s="24" t="s">
        <v>577</v>
      </c>
    </row>
    <row r="87" spans="1:1" ht="60" x14ac:dyDescent="0.25">
      <c r="A87" s="22" t="s">
        <v>575</v>
      </c>
    </row>
    <row r="88" spans="1:1" ht="60" x14ac:dyDescent="0.25">
      <c r="A88" s="24" t="s">
        <v>578</v>
      </c>
    </row>
    <row r="89" spans="1:1" ht="60" x14ac:dyDescent="0.25">
      <c r="A89" s="24" t="s">
        <v>582</v>
      </c>
    </row>
    <row r="90" spans="1:1" ht="60" x14ac:dyDescent="0.25">
      <c r="A90" s="24" t="s">
        <v>638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2017-06-21T05:05:05Z</cp:lastPrinted>
  <dcterms:created xsi:type="dcterms:W3CDTF">2015-01-28T05:03:31Z</dcterms:created>
  <dcterms:modified xsi:type="dcterms:W3CDTF">2017-06-28T12:37:57Z</dcterms:modified>
</cp:coreProperties>
</file>